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CSI\Jan At-Risk Adjustments\"/>
    </mc:Choice>
  </mc:AlternateContent>
  <xr:revisionPtr revIDLastSave="0" documentId="13_ncr:1_{05FA5036-5D51-464A-9827-987AFCB5D8D3}" xr6:coauthVersionLast="47" xr6:coauthVersionMax="47" xr10:uidLastSave="{00000000-0000-0000-0000-000000000000}"/>
  <bookViews>
    <workbookView xWindow="-110" yWindow="-110" windowWidth="19420" windowHeight="10420" firstSheet="1" activeTab="3" xr2:uid="{00000000-000D-0000-FFFF-FFFF00000000}"/>
  </bookViews>
  <sheets>
    <sheet name="Adams12" sheetId="4" r:id="rId1"/>
    <sheet name="Commerce City" sheetId="5" r:id="rId2"/>
    <sheet name="Brighton 27J" sheetId="6" r:id="rId3"/>
    <sheet name="Calculation Form" sheetId="1" r:id="rId4"/>
    <sheet name="Inputs" sheetId="2" r:id="rId5"/>
    <sheet name="CSI Counts" sheetId="3" r:id="rId6"/>
  </sheets>
  <externalReferences>
    <externalReference r:id="rId7"/>
    <externalReference r:id="rId8"/>
  </externalReferences>
  <definedNames>
    <definedName name="Inputs">Inputs!$A$2:$I$181</definedName>
    <definedName name="Values">[1]Inputs!$A$2:$I$181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/>
  <c r="H5" i="1"/>
  <c r="I5" i="1"/>
  <c r="J5" i="1"/>
  <c r="K5" i="1"/>
  <c r="L5" i="1"/>
  <c r="M5" i="1"/>
  <c r="N5" i="1"/>
  <c r="E5" i="1"/>
  <c r="P42" i="6"/>
  <c r="P44" i="6" s="1"/>
  <c r="B34" i="6"/>
  <c r="B30" i="6"/>
  <c r="B32" i="6" s="1"/>
  <c r="B29" i="6"/>
  <c r="C29" i="6" s="1"/>
  <c r="B28" i="6"/>
  <c r="B26" i="6"/>
  <c r="K25" i="6"/>
  <c r="J25" i="6"/>
  <c r="I25" i="6"/>
  <c r="H25" i="6"/>
  <c r="N24" i="6"/>
  <c r="N25" i="6" s="1"/>
  <c r="M24" i="6"/>
  <c r="M25" i="6" s="1"/>
  <c r="L24" i="6"/>
  <c r="L25" i="6" s="1"/>
  <c r="K24" i="6"/>
  <c r="J24" i="6"/>
  <c r="I24" i="6"/>
  <c r="H24" i="6"/>
  <c r="G24" i="6"/>
  <c r="G25" i="6" s="1"/>
  <c r="F24" i="6"/>
  <c r="F25" i="6" s="1"/>
  <c r="E24" i="6"/>
  <c r="B24" i="6"/>
  <c r="N21" i="6"/>
  <c r="N20" i="6"/>
  <c r="M20" i="6"/>
  <c r="L20" i="6"/>
  <c r="K20" i="6"/>
  <c r="K21" i="6" s="1"/>
  <c r="J20" i="6"/>
  <c r="I20" i="6"/>
  <c r="H20" i="6"/>
  <c r="G20" i="6"/>
  <c r="F20" i="6"/>
  <c r="E20" i="6"/>
  <c r="E25" i="6" s="1"/>
  <c r="B20" i="6"/>
  <c r="B17" i="6"/>
  <c r="N15" i="6"/>
  <c r="M15" i="6"/>
  <c r="M21" i="6" s="1"/>
  <c r="L15" i="6"/>
  <c r="L21" i="6" s="1"/>
  <c r="K15" i="6"/>
  <c r="J15" i="6"/>
  <c r="J21" i="6" s="1"/>
  <c r="I15" i="6"/>
  <c r="I21" i="6" s="1"/>
  <c r="H15" i="6"/>
  <c r="H21" i="6" s="1"/>
  <c r="G15" i="6"/>
  <c r="G21" i="6" s="1"/>
  <c r="F15" i="6"/>
  <c r="F21" i="6" s="1"/>
  <c r="E15" i="6"/>
  <c r="B15" i="6"/>
  <c r="B21" i="6" s="1"/>
  <c r="B13" i="6"/>
  <c r="C13" i="6" s="1"/>
  <c r="N9" i="6"/>
  <c r="M9" i="6"/>
  <c r="L9" i="6"/>
  <c r="K9" i="6"/>
  <c r="J9" i="6"/>
  <c r="I9" i="6"/>
  <c r="H9" i="6"/>
  <c r="G9" i="6"/>
  <c r="F9" i="6"/>
  <c r="E9" i="6"/>
  <c r="B9" i="6"/>
  <c r="B6" i="6"/>
  <c r="N5" i="6"/>
  <c r="M5" i="6"/>
  <c r="L5" i="6"/>
  <c r="K5" i="6"/>
  <c r="J5" i="6"/>
  <c r="I5" i="6"/>
  <c r="H5" i="6"/>
  <c r="G5" i="6"/>
  <c r="F5" i="6"/>
  <c r="E5" i="6"/>
  <c r="P42" i="5"/>
  <c r="P44" i="5" s="1"/>
  <c r="B34" i="5"/>
  <c r="B30" i="5"/>
  <c r="B29" i="5"/>
  <c r="B28" i="5"/>
  <c r="B26" i="5"/>
  <c r="L25" i="5"/>
  <c r="I25" i="5"/>
  <c r="N24" i="5"/>
  <c r="N25" i="5" s="1"/>
  <c r="M24" i="5"/>
  <c r="M25" i="5" s="1"/>
  <c r="L24" i="5"/>
  <c r="K24" i="5"/>
  <c r="K25" i="5" s="1"/>
  <c r="J24" i="5"/>
  <c r="I24" i="5"/>
  <c r="H24" i="5"/>
  <c r="G24" i="5"/>
  <c r="F24" i="5"/>
  <c r="F25" i="5" s="1"/>
  <c r="E24" i="5"/>
  <c r="B24" i="5"/>
  <c r="N21" i="5"/>
  <c r="I21" i="5"/>
  <c r="N20" i="5"/>
  <c r="M20" i="5"/>
  <c r="L20" i="5"/>
  <c r="K20" i="5"/>
  <c r="K21" i="5" s="1"/>
  <c r="J20" i="5"/>
  <c r="J25" i="5" s="1"/>
  <c r="I20" i="5"/>
  <c r="H20" i="5"/>
  <c r="G20" i="5"/>
  <c r="F20" i="5"/>
  <c r="E20" i="5"/>
  <c r="E25" i="5" s="1"/>
  <c r="B20" i="5"/>
  <c r="B17" i="5"/>
  <c r="B18" i="5" s="1"/>
  <c r="N15" i="5"/>
  <c r="M15" i="5"/>
  <c r="M21" i="5" s="1"/>
  <c r="L15" i="5"/>
  <c r="L21" i="5" s="1"/>
  <c r="K15" i="5"/>
  <c r="J15" i="5"/>
  <c r="J21" i="5" s="1"/>
  <c r="I15" i="5"/>
  <c r="H15" i="5"/>
  <c r="G15" i="5"/>
  <c r="F15" i="5"/>
  <c r="F21" i="5" s="1"/>
  <c r="E15" i="5"/>
  <c r="B15" i="5"/>
  <c r="B13" i="5"/>
  <c r="E13" i="5" s="1"/>
  <c r="N9" i="5"/>
  <c r="M9" i="5"/>
  <c r="L9" i="5"/>
  <c r="K9" i="5"/>
  <c r="J9" i="5"/>
  <c r="I9" i="5"/>
  <c r="H9" i="5"/>
  <c r="G9" i="5"/>
  <c r="F9" i="5"/>
  <c r="E9" i="5"/>
  <c r="B9" i="5"/>
  <c r="B6" i="5"/>
  <c r="N5" i="5"/>
  <c r="M5" i="5"/>
  <c r="L5" i="5"/>
  <c r="K5" i="5"/>
  <c r="J5" i="5"/>
  <c r="I5" i="5"/>
  <c r="H5" i="5"/>
  <c r="G5" i="5"/>
  <c r="F5" i="5"/>
  <c r="E5" i="5"/>
  <c r="F5" i="4"/>
  <c r="G5" i="4"/>
  <c r="H5" i="4"/>
  <c r="I5" i="4"/>
  <c r="J5" i="4"/>
  <c r="K5" i="4"/>
  <c r="L5" i="4"/>
  <c r="M5" i="4"/>
  <c r="N5" i="4"/>
  <c r="E5" i="4"/>
  <c r="P42" i="4"/>
  <c r="P44" i="4" s="1"/>
  <c r="B34" i="4"/>
  <c r="B30" i="4"/>
  <c r="B29" i="4"/>
  <c r="B28" i="4"/>
  <c r="B26" i="4"/>
  <c r="I25" i="4"/>
  <c r="H25" i="4"/>
  <c r="N24" i="4"/>
  <c r="N25" i="4" s="1"/>
  <c r="M24" i="4"/>
  <c r="M25" i="4" s="1"/>
  <c r="L24" i="4"/>
  <c r="L25" i="4" s="1"/>
  <c r="K24" i="4"/>
  <c r="K25" i="4" s="1"/>
  <c r="J24" i="4"/>
  <c r="J25" i="4" s="1"/>
  <c r="I24" i="4"/>
  <c r="H24" i="4"/>
  <c r="G24" i="4"/>
  <c r="G25" i="4" s="1"/>
  <c r="F24" i="4"/>
  <c r="F25" i="4" s="1"/>
  <c r="E24" i="4"/>
  <c r="B24" i="4"/>
  <c r="N21" i="4"/>
  <c r="E21" i="4"/>
  <c r="N20" i="4"/>
  <c r="M20" i="4"/>
  <c r="L20" i="4"/>
  <c r="K20" i="4"/>
  <c r="K21" i="4" s="1"/>
  <c r="J20" i="4"/>
  <c r="I20" i="4"/>
  <c r="H20" i="4"/>
  <c r="G20" i="4"/>
  <c r="F20" i="4"/>
  <c r="E20" i="4"/>
  <c r="E25" i="4" s="1"/>
  <c r="C20" i="4"/>
  <c r="B20" i="4"/>
  <c r="B17" i="4"/>
  <c r="N15" i="4"/>
  <c r="M15" i="4"/>
  <c r="M21" i="4" s="1"/>
  <c r="L15" i="4"/>
  <c r="L21" i="4" s="1"/>
  <c r="K15" i="4"/>
  <c r="J15" i="4"/>
  <c r="J21" i="4" s="1"/>
  <c r="I15" i="4"/>
  <c r="I21" i="4" s="1"/>
  <c r="H15" i="4"/>
  <c r="H21" i="4" s="1"/>
  <c r="G15" i="4"/>
  <c r="G21" i="4" s="1"/>
  <c r="F15" i="4"/>
  <c r="F21" i="4" s="1"/>
  <c r="E15" i="4"/>
  <c r="C15" i="4" s="1"/>
  <c r="B15" i="4"/>
  <c r="B21" i="4" s="1"/>
  <c r="B13" i="4"/>
  <c r="E13" i="4" s="1"/>
  <c r="N9" i="4"/>
  <c r="M9" i="4"/>
  <c r="L9" i="4"/>
  <c r="K9" i="4"/>
  <c r="J9" i="4"/>
  <c r="I9" i="4"/>
  <c r="H9" i="4"/>
  <c r="G9" i="4"/>
  <c r="F9" i="4"/>
  <c r="E9" i="4"/>
  <c r="B9" i="4"/>
  <c r="B6" i="4"/>
  <c r="C15" i="6" l="1"/>
  <c r="C20" i="6"/>
  <c r="E13" i="6"/>
  <c r="B18" i="6"/>
  <c r="G13" i="6"/>
  <c r="F13" i="6"/>
  <c r="H13" i="6"/>
  <c r="F22" i="6"/>
  <c r="H22" i="6"/>
  <c r="G40" i="6"/>
  <c r="F40" i="6"/>
  <c r="J40" i="6"/>
  <c r="I40" i="6"/>
  <c r="E40" i="6"/>
  <c r="H40" i="6"/>
  <c r="N40" i="6"/>
  <c r="M40" i="6"/>
  <c r="L40" i="6"/>
  <c r="K40" i="6"/>
  <c r="E21" i="6"/>
  <c r="E22" i="6" s="1"/>
  <c r="I13" i="6"/>
  <c r="I22" i="6"/>
  <c r="C29" i="5"/>
  <c r="J13" i="6"/>
  <c r="J22" i="6"/>
  <c r="B32" i="5"/>
  <c r="J40" i="5" s="1"/>
  <c r="K13" i="6"/>
  <c r="K22" i="6"/>
  <c r="L13" i="6"/>
  <c r="L22" i="6"/>
  <c r="G22" i="6"/>
  <c r="M13" i="6"/>
  <c r="M22" i="6"/>
  <c r="B21" i="5"/>
  <c r="E22" i="5" s="1"/>
  <c r="C9" i="6"/>
  <c r="B10" i="6" s="1"/>
  <c r="B11" i="6" s="1"/>
  <c r="B25" i="6" s="1"/>
  <c r="F26" i="6" s="1"/>
  <c r="N13" i="6"/>
  <c r="N22" i="6"/>
  <c r="C15" i="5"/>
  <c r="G25" i="5"/>
  <c r="H25" i="5"/>
  <c r="G21" i="5"/>
  <c r="H21" i="5"/>
  <c r="C20" i="5"/>
  <c r="E21" i="5"/>
  <c r="G13" i="5"/>
  <c r="F13" i="5"/>
  <c r="M40" i="5"/>
  <c r="L40" i="5"/>
  <c r="K40" i="5"/>
  <c r="H13" i="5"/>
  <c r="I13" i="5"/>
  <c r="K13" i="5"/>
  <c r="L13" i="5"/>
  <c r="L22" i="5"/>
  <c r="C29" i="4"/>
  <c r="B32" i="4"/>
  <c r="K40" i="4" s="1"/>
  <c r="J13" i="5"/>
  <c r="M13" i="5"/>
  <c r="C9" i="5"/>
  <c r="B10" i="5" s="1"/>
  <c r="B11" i="5" s="1"/>
  <c r="B25" i="5" s="1"/>
  <c r="E26" i="5" s="1"/>
  <c r="N13" i="5"/>
  <c r="C13" i="5"/>
  <c r="B18" i="4"/>
  <c r="G22" i="4"/>
  <c r="E22" i="4"/>
  <c r="G40" i="4"/>
  <c r="F40" i="4"/>
  <c r="E40" i="4"/>
  <c r="N40" i="4"/>
  <c r="M40" i="4"/>
  <c r="I40" i="4"/>
  <c r="L40" i="4"/>
  <c r="H40" i="4"/>
  <c r="H13" i="4"/>
  <c r="H22" i="4"/>
  <c r="G13" i="4"/>
  <c r="I13" i="4"/>
  <c r="I22" i="4"/>
  <c r="F22" i="4"/>
  <c r="J13" i="4"/>
  <c r="J22" i="4"/>
  <c r="F13" i="4"/>
  <c r="K13" i="4"/>
  <c r="K22" i="4"/>
  <c r="L13" i="4"/>
  <c r="L22" i="4"/>
  <c r="M13" i="4"/>
  <c r="M22" i="4"/>
  <c r="C9" i="4"/>
  <c r="B10" i="4" s="1"/>
  <c r="B11" i="4" s="1"/>
  <c r="B25" i="4" s="1"/>
  <c r="E26" i="4" s="1"/>
  <c r="N13" i="4"/>
  <c r="N22" i="4"/>
  <c r="C13" i="4"/>
  <c r="D51" i="3"/>
  <c r="D50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N51" i="3"/>
  <c r="L51" i="3"/>
  <c r="K51" i="3"/>
  <c r="J51" i="3"/>
  <c r="O51" i="3" s="1"/>
  <c r="I51" i="3"/>
  <c r="H51" i="3"/>
  <c r="G51" i="3"/>
  <c r="F51" i="3"/>
  <c r="E51" i="3"/>
  <c r="C51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N50" i="3"/>
  <c r="L50" i="3"/>
  <c r="K50" i="3"/>
  <c r="O5" i="3"/>
  <c r="I50" i="3"/>
  <c r="H50" i="3"/>
  <c r="G50" i="3"/>
  <c r="F50" i="3"/>
  <c r="E50" i="3"/>
  <c r="C50" i="3"/>
  <c r="O4" i="3"/>
  <c r="O3" i="3"/>
  <c r="O2" i="3"/>
  <c r="N48" i="3"/>
  <c r="L48" i="3"/>
  <c r="K48" i="3"/>
  <c r="J48" i="3"/>
  <c r="I48" i="3"/>
  <c r="G48" i="3"/>
  <c r="F48" i="3"/>
  <c r="E48" i="3"/>
  <c r="C48" i="3"/>
  <c r="J26" i="6" l="1"/>
  <c r="N26" i="6"/>
  <c r="E26" i="6"/>
  <c r="I26" i="6"/>
  <c r="I35" i="6" s="1"/>
  <c r="I36" i="6" s="1"/>
  <c r="M26" i="6"/>
  <c r="M35" i="6" s="1"/>
  <c r="M36" i="6" s="1"/>
  <c r="E35" i="6"/>
  <c r="E36" i="6" s="1"/>
  <c r="E39" i="6" s="1"/>
  <c r="F35" i="6"/>
  <c r="F36" i="6" s="1"/>
  <c r="F42" i="6" s="1"/>
  <c r="L26" i="6"/>
  <c r="L35" i="6" s="1"/>
  <c r="L36" i="6" s="1"/>
  <c r="H26" i="6"/>
  <c r="H35" i="6" s="1"/>
  <c r="H36" i="6" s="1"/>
  <c r="K26" i="6"/>
  <c r="K35" i="6" s="1"/>
  <c r="K36" i="6" s="1"/>
  <c r="G26" i="6"/>
  <c r="G35" i="6" s="1"/>
  <c r="G36" i="6" s="1"/>
  <c r="E42" i="6"/>
  <c r="K22" i="5"/>
  <c r="N40" i="5"/>
  <c r="H40" i="5"/>
  <c r="C40" i="5" s="1"/>
  <c r="N35" i="6"/>
  <c r="N36" i="6" s="1"/>
  <c r="N22" i="5"/>
  <c r="J22" i="5"/>
  <c r="E40" i="5"/>
  <c r="J35" i="6"/>
  <c r="J36" i="6" s="1"/>
  <c r="I22" i="5"/>
  <c r="F40" i="5"/>
  <c r="G40" i="5"/>
  <c r="H22" i="5"/>
  <c r="G22" i="5"/>
  <c r="F22" i="5"/>
  <c r="F35" i="5" s="1"/>
  <c r="F36" i="5" s="1"/>
  <c r="F42" i="5" s="1"/>
  <c r="J26" i="4"/>
  <c r="M22" i="5"/>
  <c r="I40" i="5"/>
  <c r="C40" i="6"/>
  <c r="E35" i="5"/>
  <c r="E36" i="5" s="1"/>
  <c r="E42" i="5" s="1"/>
  <c r="J26" i="5"/>
  <c r="G26" i="5"/>
  <c r="G35" i="5" s="1"/>
  <c r="G36" i="5" s="1"/>
  <c r="K26" i="5"/>
  <c r="N26" i="5"/>
  <c r="N35" i="5" s="1"/>
  <c r="N36" i="5" s="1"/>
  <c r="M26" i="5"/>
  <c r="L26" i="5"/>
  <c r="I26" i="5"/>
  <c r="H26" i="5"/>
  <c r="H35" i="5" s="1"/>
  <c r="H36" i="5" s="1"/>
  <c r="L35" i="5"/>
  <c r="L36" i="5" s="1"/>
  <c r="L39" i="5" s="1"/>
  <c r="L41" i="5" s="1"/>
  <c r="L44" i="5" s="1"/>
  <c r="F26" i="5"/>
  <c r="K35" i="5"/>
  <c r="K36" i="5" s="1"/>
  <c r="J35" i="5"/>
  <c r="J36" i="5" s="1"/>
  <c r="J40" i="4"/>
  <c r="M35" i="5"/>
  <c r="M36" i="5" s="1"/>
  <c r="N26" i="4"/>
  <c r="I26" i="4"/>
  <c r="I35" i="4" s="1"/>
  <c r="I36" i="4" s="1"/>
  <c r="I42" i="4" s="1"/>
  <c r="M26" i="4"/>
  <c r="M35" i="4" s="1"/>
  <c r="M36" i="4" s="1"/>
  <c r="G26" i="4"/>
  <c r="G35" i="4" s="1"/>
  <c r="G36" i="4" s="1"/>
  <c r="L26" i="4"/>
  <c r="L35" i="4" s="1"/>
  <c r="L36" i="4" s="1"/>
  <c r="H26" i="4"/>
  <c r="H35" i="4" s="1"/>
  <c r="H36" i="4" s="1"/>
  <c r="E35" i="4"/>
  <c r="E36" i="4" s="1"/>
  <c r="E42" i="4" s="1"/>
  <c r="K26" i="4"/>
  <c r="K35" i="4" s="1"/>
  <c r="K36" i="4" s="1"/>
  <c r="F26" i="4"/>
  <c r="F35" i="4" s="1"/>
  <c r="F36" i="4" s="1"/>
  <c r="C40" i="4"/>
  <c r="J35" i="4"/>
  <c r="J36" i="4" s="1"/>
  <c r="N35" i="4"/>
  <c r="N36" i="4" s="1"/>
  <c r="O48" i="3"/>
  <c r="M48" i="3"/>
  <c r="M50" i="3"/>
  <c r="M51" i="3"/>
  <c r="J50" i="3"/>
  <c r="O50" i="3" s="1"/>
  <c r="D48" i="3"/>
  <c r="H48" i="3"/>
  <c r="H42" i="6" l="1"/>
  <c r="H39" i="6"/>
  <c r="H41" i="6" s="1"/>
  <c r="H44" i="6" s="1"/>
  <c r="G42" i="6"/>
  <c r="G39" i="6"/>
  <c r="G41" i="6" s="1"/>
  <c r="G44" i="6" s="1"/>
  <c r="I42" i="6"/>
  <c r="I39" i="6"/>
  <c r="I41" i="6" s="1"/>
  <c r="I44" i="6" s="1"/>
  <c r="F39" i="6"/>
  <c r="F41" i="6" s="1"/>
  <c r="F44" i="6" s="1"/>
  <c r="E39" i="5"/>
  <c r="M42" i="6"/>
  <c r="M39" i="6"/>
  <c r="M41" i="6" s="1"/>
  <c r="M44" i="6" s="1"/>
  <c r="E41" i="6"/>
  <c r="I35" i="5"/>
  <c r="I36" i="5" s="1"/>
  <c r="I42" i="5" s="1"/>
  <c r="J42" i="6"/>
  <c r="J39" i="6"/>
  <c r="J41" i="6" s="1"/>
  <c r="J44" i="6" s="1"/>
  <c r="L42" i="6"/>
  <c r="L39" i="6"/>
  <c r="L41" i="6" s="1"/>
  <c r="L44" i="6" s="1"/>
  <c r="N42" i="6"/>
  <c r="N39" i="6"/>
  <c r="N41" i="6" s="1"/>
  <c r="N44" i="6" s="1"/>
  <c r="E39" i="4"/>
  <c r="K42" i="6"/>
  <c r="K39" i="6"/>
  <c r="K41" i="6" s="1"/>
  <c r="K44" i="6" s="1"/>
  <c r="G42" i="5"/>
  <c r="G39" i="5"/>
  <c r="G41" i="5" s="1"/>
  <c r="G44" i="5" s="1"/>
  <c r="L42" i="5"/>
  <c r="F39" i="5"/>
  <c r="F41" i="5" s="1"/>
  <c r="F44" i="5" s="1"/>
  <c r="L42" i="4"/>
  <c r="L39" i="4"/>
  <c r="L41" i="4" s="1"/>
  <c r="L44" i="4" s="1"/>
  <c r="K42" i="5"/>
  <c r="K39" i="5"/>
  <c r="K41" i="5" s="1"/>
  <c r="K44" i="5" s="1"/>
  <c r="J42" i="5"/>
  <c r="J39" i="5"/>
  <c r="J41" i="5" s="1"/>
  <c r="J44" i="5" s="1"/>
  <c r="I39" i="4"/>
  <c r="I41" i="4" s="1"/>
  <c r="I44" i="4" s="1"/>
  <c r="M42" i="5"/>
  <c r="M39" i="5"/>
  <c r="M41" i="5" s="1"/>
  <c r="M44" i="5" s="1"/>
  <c r="N42" i="5"/>
  <c r="N39" i="5"/>
  <c r="N41" i="5" s="1"/>
  <c r="N44" i="5" s="1"/>
  <c r="E41" i="5"/>
  <c r="H42" i="5"/>
  <c r="H39" i="5"/>
  <c r="H41" i="5" s="1"/>
  <c r="H44" i="5" s="1"/>
  <c r="K42" i="4"/>
  <c r="K39" i="4"/>
  <c r="K41" i="4" s="1"/>
  <c r="K44" i="4" s="1"/>
  <c r="J42" i="4"/>
  <c r="J39" i="4"/>
  <c r="J41" i="4" s="1"/>
  <c r="J44" i="4" s="1"/>
  <c r="F42" i="4"/>
  <c r="F39" i="4"/>
  <c r="F41" i="4" s="1"/>
  <c r="F44" i="4" s="1"/>
  <c r="E41" i="4"/>
  <c r="N42" i="4"/>
  <c r="N39" i="4"/>
  <c r="N41" i="4" s="1"/>
  <c r="N44" i="4" s="1"/>
  <c r="G42" i="4"/>
  <c r="G39" i="4"/>
  <c r="G41" i="4" s="1"/>
  <c r="G44" i="4" s="1"/>
  <c r="M42" i="4"/>
  <c r="M39" i="4"/>
  <c r="M41" i="4" s="1"/>
  <c r="M44" i="4" s="1"/>
  <c r="H42" i="4"/>
  <c r="H39" i="4"/>
  <c r="H41" i="4" s="1"/>
  <c r="H44" i="4" s="1"/>
  <c r="C42" i="6" l="1"/>
  <c r="E44" i="6"/>
  <c r="C41" i="6"/>
  <c r="O41" i="6"/>
  <c r="C39" i="6"/>
  <c r="I39" i="5"/>
  <c r="I41" i="5" s="1"/>
  <c r="I44" i="5" s="1"/>
  <c r="C42" i="5"/>
  <c r="E44" i="5"/>
  <c r="C42" i="4"/>
  <c r="E44" i="4"/>
  <c r="C41" i="4"/>
  <c r="O41" i="4"/>
  <c r="C39" i="4"/>
  <c r="O41" i="5" l="1"/>
  <c r="O42" i="5" s="1"/>
  <c r="C39" i="5"/>
  <c r="B37" i="6"/>
  <c r="B22" i="6" s="1"/>
  <c r="B42" i="6"/>
  <c r="O42" i="6"/>
  <c r="Q41" i="6"/>
  <c r="C41" i="5"/>
  <c r="B37" i="5"/>
  <c r="B22" i="5" s="1"/>
  <c r="B42" i="5"/>
  <c r="Q41" i="5"/>
  <c r="O42" i="4"/>
  <c r="Q41" i="4"/>
  <c r="B37" i="4"/>
  <c r="B22" i="4" s="1"/>
  <c r="B42" i="4"/>
  <c r="Q42" i="6" l="1"/>
  <c r="Q44" i="6" s="1"/>
  <c r="O44" i="6"/>
  <c r="Q42" i="5"/>
  <c r="Q44" i="5" s="1"/>
  <c r="O44" i="5"/>
  <c r="Q42" i="4"/>
  <c r="Q44" i="4" s="1"/>
  <c r="O44" i="4"/>
  <c r="F20" i="1" l="1"/>
  <c r="G20" i="1"/>
  <c r="H20" i="1"/>
  <c r="I20" i="1"/>
  <c r="J20" i="1"/>
  <c r="K20" i="1"/>
  <c r="L20" i="1"/>
  <c r="M20" i="1"/>
  <c r="N20" i="1"/>
  <c r="E20" i="1"/>
  <c r="F24" i="1" l="1"/>
  <c r="G24" i="1"/>
  <c r="H24" i="1"/>
  <c r="I24" i="1"/>
  <c r="J24" i="1"/>
  <c r="K24" i="1"/>
  <c r="L24" i="1"/>
  <c r="M24" i="1"/>
  <c r="N24" i="1"/>
  <c r="F15" i="1"/>
  <c r="G15" i="1"/>
  <c r="H15" i="1"/>
  <c r="I15" i="1"/>
  <c r="J15" i="1"/>
  <c r="K15" i="1"/>
  <c r="L15" i="1"/>
  <c r="M15" i="1"/>
  <c r="N15" i="1"/>
  <c r="F9" i="1"/>
  <c r="G9" i="1"/>
  <c r="H9" i="1"/>
  <c r="I9" i="1"/>
  <c r="J9" i="1"/>
  <c r="K9" i="1"/>
  <c r="L9" i="1"/>
  <c r="M9" i="1"/>
  <c r="N9" i="1"/>
  <c r="E24" i="1"/>
  <c r="E15" i="1"/>
  <c r="E9" i="1"/>
  <c r="O183" i="2"/>
  <c r="N183" i="2"/>
  <c r="K183" i="2"/>
  <c r="J183" i="2"/>
  <c r="I183" i="2"/>
  <c r="H183" i="2"/>
  <c r="G183" i="2"/>
  <c r="F183" i="2"/>
  <c r="E183" i="2"/>
  <c r="D183" i="2"/>
  <c r="L182" i="2"/>
  <c r="P44" i="1"/>
  <c r="P42" i="1"/>
  <c r="L183" i="2" l="1"/>
  <c r="G25" i="1"/>
  <c r="B26" i="1"/>
  <c r="N25" i="1" l="1"/>
  <c r="M25" i="1"/>
  <c r="L25" i="1"/>
  <c r="K25" i="1"/>
  <c r="J25" i="1"/>
  <c r="I25" i="1"/>
  <c r="H25" i="1"/>
  <c r="E25" i="1"/>
  <c r="F25" i="1"/>
  <c r="B24" i="1"/>
  <c r="B20" i="1" l="1"/>
  <c r="B30" i="1" l="1"/>
  <c r="L21" i="1"/>
  <c r="B34" i="1"/>
  <c r="B28" i="1"/>
  <c r="B29" i="1"/>
  <c r="B17" i="1"/>
  <c r="B15" i="1"/>
  <c r="B13" i="1"/>
  <c r="J13" i="1" s="1"/>
  <c r="B9" i="1"/>
  <c r="B6" i="1"/>
  <c r="J21" i="1"/>
  <c r="G21" i="1"/>
  <c r="K21" i="1"/>
  <c r="I21" i="1"/>
  <c r="M21" i="1"/>
  <c r="N21" i="1"/>
  <c r="F21" i="1"/>
  <c r="H21" i="1"/>
  <c r="C20" i="1"/>
  <c r="C15" i="1"/>
  <c r="E21" i="1"/>
  <c r="B32" i="1" l="1"/>
  <c r="B21" i="1"/>
  <c r="C29" i="1"/>
  <c r="I13" i="1"/>
  <c r="B18" i="1"/>
  <c r="C13" i="1"/>
  <c r="K13" i="1"/>
  <c r="H13" i="1"/>
  <c r="N13" i="1"/>
  <c r="M13" i="1"/>
  <c r="F13" i="1"/>
  <c r="G13" i="1"/>
  <c r="E13" i="1"/>
  <c r="L13" i="1"/>
  <c r="H40" i="1" l="1"/>
  <c r="J40" i="1"/>
  <c r="K40" i="1"/>
  <c r="L40" i="1"/>
  <c r="N40" i="1"/>
  <c r="I40" i="1"/>
  <c r="M40" i="1"/>
  <c r="F40" i="1"/>
  <c r="J22" i="1"/>
  <c r="G22" i="1"/>
  <c r="L22" i="1"/>
  <c r="N22" i="1"/>
  <c r="K22" i="1"/>
  <c r="H22" i="1"/>
  <c r="F22" i="1"/>
  <c r="I22" i="1"/>
  <c r="M22" i="1"/>
  <c r="G40" i="1"/>
  <c r="C9" i="1"/>
  <c r="B10" i="1" s="1"/>
  <c r="B11" i="1" s="1"/>
  <c r="B25" i="1" s="1"/>
  <c r="J26" i="1" s="1"/>
  <c r="E22" i="1"/>
  <c r="E40" i="1"/>
  <c r="J35" i="1" l="1"/>
  <c r="J36" i="1" s="1"/>
  <c r="J39" i="1" s="1"/>
  <c r="J41" i="1" s="1"/>
  <c r="J44" i="1" s="1"/>
  <c r="F26" i="1"/>
  <c r="F35" i="1" s="1"/>
  <c r="F36" i="1" s="1"/>
  <c r="G26" i="1"/>
  <c r="G35" i="1" s="1"/>
  <c r="G36" i="1" s="1"/>
  <c r="L26" i="1"/>
  <c r="L35" i="1" s="1"/>
  <c r="L36" i="1" s="1"/>
  <c r="L39" i="1" s="1"/>
  <c r="L41" i="1" s="1"/>
  <c r="L44" i="1" s="1"/>
  <c r="K26" i="1"/>
  <c r="K35" i="1" s="1"/>
  <c r="K36" i="1" s="1"/>
  <c r="K39" i="1" s="1"/>
  <c r="K41" i="1" s="1"/>
  <c r="K44" i="1" s="1"/>
  <c r="M26" i="1"/>
  <c r="M35" i="1" s="1"/>
  <c r="M36" i="1" s="1"/>
  <c r="M39" i="1" s="1"/>
  <c r="M41" i="1" s="1"/>
  <c r="M44" i="1" s="1"/>
  <c r="H26" i="1"/>
  <c r="H35" i="1" s="1"/>
  <c r="H36" i="1" s="1"/>
  <c r="I26" i="1"/>
  <c r="I35" i="1" s="1"/>
  <c r="I36" i="1" s="1"/>
  <c r="I39" i="1" s="1"/>
  <c r="I41" i="1" s="1"/>
  <c r="I44" i="1" s="1"/>
  <c r="N26" i="1"/>
  <c r="N35" i="1" s="1"/>
  <c r="N36" i="1" s="1"/>
  <c r="N42" i="1" s="1"/>
  <c r="E26" i="1"/>
  <c r="E35" i="1" s="1"/>
  <c r="E36" i="1" s="1"/>
  <c r="C40" i="1"/>
  <c r="J42" i="1" l="1"/>
  <c r="N39" i="1"/>
  <c r="N41" i="1" s="1"/>
  <c r="N44" i="1" s="1"/>
  <c r="K42" i="1"/>
  <c r="M42" i="1"/>
  <c r="I42" i="1"/>
  <c r="L42" i="1"/>
  <c r="H42" i="1"/>
  <c r="H39" i="1"/>
  <c r="H41" i="1" s="1"/>
  <c r="H44" i="1" s="1"/>
  <c r="G42" i="1"/>
  <c r="G39" i="1"/>
  <c r="G41" i="1" s="1"/>
  <c r="G44" i="1" s="1"/>
  <c r="F42" i="1"/>
  <c r="F39" i="1"/>
  <c r="F41" i="1" s="1"/>
  <c r="F44" i="1" s="1"/>
  <c r="E42" i="1"/>
  <c r="E39" i="1"/>
  <c r="E41" i="1" s="1"/>
  <c r="E44" i="1" l="1"/>
  <c r="O41" i="1"/>
  <c r="C42" i="1"/>
  <c r="C39" i="1"/>
  <c r="B42" i="1" s="1"/>
  <c r="C41" i="1"/>
  <c r="O42" i="1" l="1"/>
  <c r="Q41" i="1"/>
  <c r="B37" i="1"/>
  <c r="B22" i="1" s="1"/>
  <c r="O44" i="1" l="1"/>
  <c r="Q42" i="1"/>
  <c r="Q44" i="1" s="1"/>
</calcChain>
</file>

<file path=xl/sharedStrings.xml><?xml version="1.0" encoding="utf-8"?>
<sst xmlns="http://schemas.openxmlformats.org/spreadsheetml/2006/main" count="1001" uniqueCount="554">
  <si>
    <t>Enter District Number:</t>
  </si>
  <si>
    <t>DISTRICT</t>
  </si>
  <si>
    <t>At-risk Pupil Count</t>
  </si>
  <si>
    <t>Funded Pupil Count</t>
  </si>
  <si>
    <t>K-12 Membership</t>
  </si>
  <si>
    <t>Adjusted District Per-Pupil Revenue</t>
  </si>
  <si>
    <t>District Per-Pupil Revenue</t>
  </si>
  <si>
    <t>Total At-Risk Funding</t>
  </si>
  <si>
    <t>TOTAL PROGRAM</t>
  </si>
  <si>
    <t>Total Program Funding</t>
  </si>
  <si>
    <t>Less: Charter School Count</t>
  </si>
  <si>
    <t>District Adjusted Pupil Count</t>
  </si>
  <si>
    <t>District Per Pupil At-Risk Funding</t>
  </si>
  <si>
    <t xml:space="preserve">Total Formula Per Pupil Funding </t>
  </si>
  <si>
    <t>Charter Total Program (Adjusted)</t>
  </si>
  <si>
    <t>Charter Total Program (Unadjusted)</t>
  </si>
  <si>
    <t>Adjusted Charter Per-Pupil Revenue</t>
  </si>
  <si>
    <t>At-risk Funding to (from) Charter</t>
  </si>
  <si>
    <t>Adjusted At-risk Per Pupil Funding</t>
  </si>
  <si>
    <t>CALCULATION ELEMENTS</t>
  </si>
  <si>
    <t>Percentage of Pupils Eligible for Free Lunch (At-risk Pupil Count divided by K-12 Membership)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</si>
  <si>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</si>
  <si>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</si>
  <si>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</si>
  <si>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</si>
  <si>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</si>
  <si>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</si>
  <si>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</si>
  <si>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</si>
  <si>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</si>
  <si>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</si>
  <si>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</si>
  <si>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</si>
  <si>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</si>
  <si>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</si>
  <si>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</si>
  <si>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</si>
  <si>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</si>
  <si>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</si>
  <si>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</si>
  <si>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</si>
  <si>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</si>
  <si>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</si>
  <si>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</si>
  <si>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</si>
  <si>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</si>
  <si>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</si>
  <si>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</si>
  <si>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</si>
  <si>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</si>
  <si>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</si>
  <si>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</si>
  <si>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</si>
  <si>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</si>
  <si>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</si>
  <si>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</si>
  <si>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</si>
  <si>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</si>
  <si>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</si>
  <si>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</si>
  <si>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</si>
  <si>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</si>
  <si>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</si>
  <si>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</si>
  <si>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</si>
  <si>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</si>
  <si>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</si>
  <si>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</si>
  <si>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</si>
  <si>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</si>
  <si>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</si>
  <si>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</si>
  <si>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</si>
  <si>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</si>
  <si>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</si>
  <si>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</si>
  <si>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</si>
  <si>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</si>
  <si>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</si>
  <si>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</si>
  <si>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</si>
  <si>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</si>
  <si>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</si>
  <si>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</si>
  <si>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</si>
  <si>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</si>
  <si>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</si>
  <si>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</si>
  <si>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</si>
  <si>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</si>
  <si>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</si>
  <si>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</si>
  <si>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</si>
  <si>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</si>
  <si>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</si>
  <si>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</si>
  <si>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</si>
  <si>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</si>
  <si>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</si>
  <si>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</si>
  <si>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</si>
  <si>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</si>
  <si>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</si>
  <si>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</si>
  <si>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</si>
  <si>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</si>
  <si>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</si>
  <si>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</si>
  <si>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</si>
  <si>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</si>
  <si>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</si>
  <si>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</si>
  <si>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</si>
  <si>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</si>
  <si>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</si>
  <si>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</si>
  <si>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</si>
  <si>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</si>
  <si>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</si>
  <si>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</si>
  <si>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</si>
  <si>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</si>
  <si>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</si>
  <si>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</si>
  <si>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</si>
  <si>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</si>
  <si>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</si>
  <si>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</si>
  <si>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</si>
  <si>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</si>
  <si>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</si>
  <si>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</si>
  <si>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</si>
  <si>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</si>
  <si>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</si>
  <si>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</si>
  <si>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</si>
  <si>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</si>
  <si>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</si>
  <si>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</si>
  <si>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</si>
  <si>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</si>
  <si>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</si>
  <si>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</si>
  <si>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</si>
  <si>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</si>
  <si>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</si>
  <si>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</si>
  <si>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</si>
  <si>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</si>
  <si>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</si>
  <si>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</si>
  <si>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</si>
  <si>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</si>
  <si>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</si>
  <si>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</si>
  <si>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</si>
  <si>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</si>
  <si>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</si>
  <si>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</si>
  <si>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</si>
  <si>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</si>
  <si>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</si>
  <si>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</si>
  <si>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</si>
  <si>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</si>
  <si>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</si>
  <si>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</si>
  <si>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</si>
  <si>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</si>
  <si>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</si>
  <si>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</si>
  <si>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</si>
  <si>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</si>
  <si>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</si>
  <si>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</si>
  <si>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</si>
  <si>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</si>
  <si>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</si>
  <si>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</si>
  <si>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</si>
  <si>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</si>
  <si>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</si>
  <si>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</si>
  <si>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</si>
  <si>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</si>
  <si>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</si>
  <si>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</si>
  <si>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</si>
  <si>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</si>
  <si>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</si>
  <si>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</si>
  <si>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</si>
  <si>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</si>
  <si>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</si>
  <si>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</si>
  <si>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</si>
  <si>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</si>
  <si>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</si>
  <si>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</si>
  <si>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</si>
  <si>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</si>
  <si>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</si>
  <si>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</si>
  <si>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</si>
  <si>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</si>
  <si>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</si>
  <si>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</si>
  <si>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</si>
  <si>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</si>
  <si>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</si>
  <si>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</si>
  <si>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</si>
  <si>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</si>
  <si>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</si>
  <si>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</si>
  <si>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</si>
  <si>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</si>
  <si>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</si>
  <si>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</si>
  <si>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</si>
  <si>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</si>
  <si>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</si>
  <si>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</si>
  <si>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</si>
  <si>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</si>
  <si>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</si>
  <si>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</si>
  <si>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</si>
  <si>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</si>
  <si>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</si>
  <si>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</si>
  <si>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District Code</t>
  </si>
  <si>
    <t>0010</t>
  </si>
  <si>
    <t>0020</t>
  </si>
  <si>
    <t>0030</t>
  </si>
  <si>
    <t>0040</t>
  </si>
  <si>
    <t>0050</t>
  </si>
  <si>
    <t>0060</t>
  </si>
  <si>
    <t>0070</t>
  </si>
  <si>
    <t>0100</t>
  </si>
  <si>
    <t>0110</t>
  </si>
  <si>
    <t>0120</t>
  </si>
  <si>
    <t>0123</t>
  </si>
  <si>
    <t>0130</t>
  </si>
  <si>
    <t>0140</t>
  </si>
  <si>
    <t>0170</t>
  </si>
  <si>
    <t>0180</t>
  </si>
  <si>
    <t>0190</t>
  </si>
  <si>
    <t>0220</t>
  </si>
  <si>
    <t>0230</t>
  </si>
  <si>
    <t>0240</t>
  </si>
  <si>
    <t>0250</t>
  </si>
  <si>
    <t>0260</t>
  </si>
  <si>
    <t>0270</t>
  </si>
  <si>
    <t>0290</t>
  </si>
  <si>
    <t>0310</t>
  </si>
  <si>
    <t>0470</t>
  </si>
  <si>
    <t>0480</t>
  </si>
  <si>
    <t>0490</t>
  </si>
  <si>
    <t>0500</t>
  </si>
  <si>
    <t>0510</t>
  </si>
  <si>
    <t>0520</t>
  </si>
  <si>
    <t>0540</t>
  </si>
  <si>
    <t>0550</t>
  </si>
  <si>
    <t>0560</t>
  </si>
  <si>
    <t>0580</t>
  </si>
  <si>
    <t>0640</t>
  </si>
  <si>
    <t>0740</t>
  </si>
  <si>
    <t>0770</t>
  </si>
  <si>
    <t>0860</t>
  </si>
  <si>
    <t>0870</t>
  </si>
  <si>
    <t>0880</t>
  </si>
  <si>
    <t>0890</t>
  </si>
  <si>
    <t>0900</t>
  </si>
  <si>
    <t>0910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</si>
  <si>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</si>
  <si>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</si>
  <si>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</si>
  <si>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</si>
  <si>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</si>
  <si>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</si>
  <si>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</si>
  <si>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</si>
  <si>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</si>
  <si>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1010</t>
  </si>
  <si>
    <t>1020</t>
  </si>
  <si>
    <t>1030</t>
  </si>
  <si>
    <t>1040</t>
  </si>
  <si>
    <t>1050</t>
  </si>
  <si>
    <t>1060</t>
  </si>
  <si>
    <t>1070</t>
  </si>
  <si>
    <t>1080</t>
  </si>
  <si>
    <t>1110</t>
  </si>
  <si>
    <t>1120</t>
  </si>
  <si>
    <t>1130</t>
  </si>
  <si>
    <t>1140</t>
  </si>
  <si>
    <t>1150</t>
  </si>
  <si>
    <t>1160</t>
  </si>
  <si>
    <t>1180</t>
  </si>
  <si>
    <t>1195</t>
  </si>
  <si>
    <t>1220</t>
  </si>
  <si>
    <t>1330</t>
  </si>
  <si>
    <t>1340</t>
  </si>
  <si>
    <t>1350</t>
  </si>
  <si>
    <t>1360</t>
  </si>
  <si>
    <t>1380</t>
  </si>
  <si>
    <t>1390</t>
  </si>
  <si>
    <t>1400</t>
  </si>
  <si>
    <t>1410</t>
  </si>
  <si>
    <t>1420</t>
  </si>
  <si>
    <t>1430</t>
  </si>
  <si>
    <t>1440</t>
  </si>
  <si>
    <t>1450</t>
  </si>
  <si>
    <t>1460</t>
  </si>
  <si>
    <t>1480</t>
  </si>
  <si>
    <t>1490</t>
  </si>
  <si>
    <t>1500</t>
  </si>
  <si>
    <t>1510</t>
  </si>
  <si>
    <t>1520</t>
  </si>
  <si>
    <t>1530</t>
  </si>
  <si>
    <t>1540</t>
  </si>
  <si>
    <t>1550</t>
  </si>
  <si>
    <t>1560</t>
  </si>
  <si>
    <t>1570</t>
  </si>
  <si>
    <t>1580</t>
  </si>
  <si>
    <t>1590</t>
  </si>
  <si>
    <t>1600</t>
  </si>
  <si>
    <t>1620</t>
  </si>
  <si>
    <t>1750</t>
  </si>
  <si>
    <t>1760</t>
  </si>
  <si>
    <t>1780</t>
  </si>
  <si>
    <t>1790</t>
  </si>
  <si>
    <t>1810</t>
  </si>
  <si>
    <t>1828</t>
  </si>
  <si>
    <t>1850</t>
  </si>
  <si>
    <t>1860</t>
  </si>
  <si>
    <t>1870</t>
  </si>
  <si>
    <t>1980</t>
  </si>
  <si>
    <t>1990</t>
  </si>
  <si>
    <t>2000</t>
  </si>
  <si>
    <t>2010</t>
  </si>
  <si>
    <t>2020</t>
  </si>
  <si>
    <t>2035</t>
  </si>
  <si>
    <t>2055</t>
  </si>
  <si>
    <t>2070</t>
  </si>
  <si>
    <t>2180</t>
  </si>
  <si>
    <t>2190</t>
  </si>
  <si>
    <t>2395</t>
  </si>
  <si>
    <t>2405</t>
  </si>
  <si>
    <t>2505</t>
  </si>
  <si>
    <t>2515</t>
  </si>
  <si>
    <t>2520</t>
  </si>
  <si>
    <t>2530</t>
  </si>
  <si>
    <t>2535</t>
  </si>
  <si>
    <t>2540</t>
  </si>
  <si>
    <t>2560</t>
  </si>
  <si>
    <t>2570</t>
  </si>
  <si>
    <t>2580</t>
  </si>
  <si>
    <t>2590</t>
  </si>
  <si>
    <t>2600</t>
  </si>
  <si>
    <t>2610</t>
  </si>
  <si>
    <t>2620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</si>
  <si>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</si>
  <si>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</si>
  <si>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</si>
  <si>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</si>
  <si>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</si>
  <si>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</si>
  <si>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</si>
  <si>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</si>
  <si>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</si>
  <si>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</si>
  <si>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</si>
  <si>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</si>
  <si>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</si>
  <si>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</si>
  <si>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</si>
  <si>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</si>
  <si>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</si>
  <si>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</si>
  <si>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2810</t>
  </si>
  <si>
    <t>2820</t>
  </si>
  <si>
    <t>2830</t>
  </si>
  <si>
    <t>2840</t>
  </si>
  <si>
    <t>2862</t>
  </si>
  <si>
    <t>2865</t>
  </si>
  <si>
    <t>3000</t>
  </si>
  <si>
    <t>3010</t>
  </si>
  <si>
    <t>3020</t>
  </si>
  <si>
    <t>3030</t>
  </si>
  <si>
    <t>3040</t>
  </si>
  <si>
    <t>3050</t>
  </si>
  <si>
    <t>3060</t>
  </si>
  <si>
    <t>3070</t>
  </si>
  <si>
    <t>3080</t>
  </si>
  <si>
    <t>3085</t>
  </si>
  <si>
    <t>3090</t>
  </si>
  <si>
    <t>3100</t>
  </si>
  <si>
    <t>3110</t>
  </si>
  <si>
    <t>3120</t>
  </si>
  <si>
    <t>3130</t>
  </si>
  <si>
    <t>3140</t>
  </si>
  <si>
    <t>3145</t>
  </si>
  <si>
    <t>3146</t>
  </si>
  <si>
    <t>3147</t>
  </si>
  <si>
    <t>3148</t>
  </si>
  <si>
    <t>3200</t>
  </si>
  <si>
    <t>3210</t>
  </si>
  <si>
    <t>3220</t>
  </si>
  <si>
    <t>3230</t>
  </si>
  <si>
    <t>At-Risk Pupil Count</t>
  </si>
  <si>
    <t>Charter School Totals</t>
  </si>
  <si>
    <t>County</t>
  </si>
  <si>
    <t>District</t>
  </si>
  <si>
    <t>District Name</t>
  </si>
  <si>
    <t xml:space="preserve">Instructions: </t>
  </si>
  <si>
    <t>Step 1 - Enter district number</t>
  </si>
  <si>
    <t xml:space="preserve">Step 2 - Enter charter school fields indicated by yellow highlight.  </t>
  </si>
  <si>
    <t>Revised Total Program Funding</t>
  </si>
  <si>
    <t>SBSF</t>
  </si>
  <si>
    <t xml:space="preserve"> </t>
  </si>
  <si>
    <t>Charter Per-Pupil Revenue (greater of floor or adjusted)</t>
  </si>
  <si>
    <t>Charter School</t>
  </si>
  <si>
    <t>Budget Stabilization Factor Total/Per Pupil</t>
  </si>
  <si>
    <t>Rescission</t>
  </si>
  <si>
    <t>Floor Funding (after BS Factor/Rescission)</t>
  </si>
  <si>
    <t>Budget Stabilization Factor Total Program Funding</t>
  </si>
  <si>
    <t>0015</t>
  </si>
  <si>
    <t>3439</t>
  </si>
  <si>
    <t>SCHOOL_CODE</t>
  </si>
  <si>
    <t>CSI_K_12_FTE_CNT</t>
  </si>
  <si>
    <t>CSI_KIND_FTE_CNT</t>
  </si>
  <si>
    <t>CSI_HALF_DAY_KIND</t>
  </si>
  <si>
    <t>CSI_ONLINE_CNT</t>
  </si>
  <si>
    <t>CSI_MEM_1_8_CNT</t>
  </si>
  <si>
    <t>CSI_MEM_K_12_CNT</t>
  </si>
  <si>
    <t>FPC</t>
  </si>
  <si>
    <t>ELL</t>
  </si>
  <si>
    <t>TOT_AT_RISK</t>
  </si>
  <si>
    <t>6914</t>
  </si>
  <si>
    <t>1882</t>
  </si>
  <si>
    <t>9037</t>
  </si>
  <si>
    <t>9040</t>
  </si>
  <si>
    <t>0655</t>
  </si>
  <si>
    <t>7278</t>
  </si>
  <si>
    <t>1633</t>
  </si>
  <si>
    <t>3513</t>
  </si>
  <si>
    <t>5957</t>
  </si>
  <si>
    <t>6219</t>
  </si>
  <si>
    <t>6266</t>
  </si>
  <si>
    <t>8061</t>
  </si>
  <si>
    <t>2196</t>
  </si>
  <si>
    <t>0653</t>
  </si>
  <si>
    <t>1371</t>
  </si>
  <si>
    <t>1505</t>
  </si>
  <si>
    <t>1791</t>
  </si>
  <si>
    <t>1795</t>
  </si>
  <si>
    <t>3326</t>
  </si>
  <si>
    <t>5851</t>
  </si>
  <si>
    <t>7512</t>
  </si>
  <si>
    <t>3393</t>
  </si>
  <si>
    <t>0075</t>
  </si>
  <si>
    <t>5453</t>
  </si>
  <si>
    <t>0657</t>
  </si>
  <si>
    <t>0493</t>
  </si>
  <si>
    <t>1387</t>
  </si>
  <si>
    <t>1882;9037;9040</t>
  </si>
  <si>
    <t>6266;3513</t>
  </si>
  <si>
    <t>0079</t>
  </si>
  <si>
    <t>1005</t>
  </si>
  <si>
    <t>FC9</t>
  </si>
  <si>
    <t>AR6</t>
  </si>
  <si>
    <t>PP7</t>
  </si>
  <si>
    <t>V10</t>
  </si>
  <si>
    <t>GT1</t>
  </si>
  <si>
    <t>GT7</t>
  </si>
  <si>
    <t>RS1</t>
  </si>
  <si>
    <t>GT7.1</t>
  </si>
  <si>
    <t>ELL Funded Count</t>
  </si>
  <si>
    <t>Percentage of ELL Pupils</t>
  </si>
  <si>
    <t>ELL Pupil Count</t>
  </si>
  <si>
    <t>Total ELL Formula Funding</t>
  </si>
  <si>
    <t>Minimum Floor Funding after Budget Stabilization Factor</t>
  </si>
  <si>
    <t>2067</t>
  </si>
  <si>
    <t>1279</t>
  </si>
  <si>
    <t>5845</t>
  </si>
  <si>
    <t>5313</t>
  </si>
  <si>
    <t>5423</t>
  </si>
  <si>
    <t>CSI_FRL_1_8_CNT</t>
  </si>
  <si>
    <t>CSI_FRL_K_12_CNT</t>
  </si>
  <si>
    <t>Coperni 3</t>
  </si>
  <si>
    <t>Colorado Military Academy</t>
  </si>
  <si>
    <t>Colorado Springs Charter Academy</t>
  </si>
  <si>
    <t>Mountain Song Community School</t>
  </si>
  <si>
    <t>Mountain Middle School</t>
  </si>
  <si>
    <t>Caprock Academy</t>
  </si>
  <si>
    <t>Axis International Academy</t>
  </si>
  <si>
    <t>EL1</t>
  </si>
  <si>
    <t>EL4</t>
  </si>
  <si>
    <t>The Pinnacle Charter School</t>
  </si>
  <si>
    <t>High Point Academy</t>
  </si>
  <si>
    <t>Crown Pointe Charter Academy</t>
  </si>
  <si>
    <t>Ricardo Flores Magon Academy</t>
  </si>
  <si>
    <t>New Legacy Charter School</t>
  </si>
  <si>
    <t>Salida Montessori Charter School</t>
  </si>
  <si>
    <t>Stone Creek School</t>
  </si>
  <si>
    <t>Colorado International Language Academy</t>
  </si>
  <si>
    <t>Ross Montessori School</t>
  </si>
  <si>
    <t>Animas High School</t>
  </si>
  <si>
    <t>Monument View Montessori Charter School</t>
  </si>
  <si>
    <t>Kwiyagat Community Academy</t>
  </si>
  <si>
    <t>5499</t>
  </si>
  <si>
    <t>9679</t>
  </si>
  <si>
    <t>2904</t>
  </si>
  <si>
    <t>9596</t>
  </si>
  <si>
    <t>2905</t>
  </si>
  <si>
    <t>Prospect Academy</t>
  </si>
  <si>
    <t>FTE with Averaging</t>
  </si>
  <si>
    <t>TF2</t>
  </si>
  <si>
    <t>CSI_EXT_HS_CNT</t>
  </si>
  <si>
    <t>8948</t>
  </si>
  <si>
    <t>0188</t>
  </si>
  <si>
    <t>0126</t>
  </si>
  <si>
    <t>9598</t>
  </si>
  <si>
    <t>DistCode</t>
  </si>
  <si>
    <t>SchoolCode</t>
  </si>
  <si>
    <t>School</t>
  </si>
  <si>
    <t>Academy of Charter Schools</t>
  </si>
  <si>
    <t>Global Village Academy - North</t>
  </si>
  <si>
    <t>Community Leadership Academy</t>
  </si>
  <si>
    <t>University Prep - Commerce City</t>
  </si>
  <si>
    <t>Victory Preparatory Academy High State Charter School</t>
  </si>
  <si>
    <t>Victory Preparatory Academy Middle State Charter School</t>
  </si>
  <si>
    <t>Ascent Classical Academy of Northern Denver</t>
  </si>
  <si>
    <t>Colorado Skies Academy</t>
  </si>
  <si>
    <t>Academy of Advanced Learning</t>
  </si>
  <si>
    <t>Colorado Early Colleges Aurora</t>
  </si>
  <si>
    <t>Early Learning Center at New Legacy Charter School</t>
  </si>
  <si>
    <t>Montessori del Mundo Charter School</t>
  </si>
  <si>
    <t>New America School - Aurora</t>
  </si>
  <si>
    <t>Wildflower Montessori Public Schools of Colorado Aurora</t>
  </si>
  <si>
    <t xml:space="preserve">Ascent Classical Academy of Douglas County </t>
  </si>
  <si>
    <t xml:space="preserve">Colorado Early Colleges Douglas County </t>
  </si>
  <si>
    <t xml:space="preserve">Colorado Early Colleges Colorado Springs </t>
  </si>
  <si>
    <t>Golden View Classical Academy</t>
  </si>
  <si>
    <t>Academy of Arts and Knowledge Elementary</t>
  </si>
  <si>
    <t xml:space="preserve">Ascent Classical Academy of Northern Colorado </t>
  </si>
  <si>
    <t>Colorado Early Colleges Windsor</t>
  </si>
  <si>
    <t>Colorado Early Colleges Fort Collins</t>
  </si>
  <si>
    <t xml:space="preserve">Colorado Early Colleges Online Campus </t>
  </si>
  <si>
    <t>Ascent Classical Academy of Grand Junction</t>
  </si>
  <si>
    <t>Wildflower Montessori Public School of Colorado Grand Valley</t>
  </si>
  <si>
    <t>Steamboat Montessori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</si>
</sst>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#,##0.0"/>
    <numFmt numFmtId="165" formatCode="_(* #,##0.0_);_(* \(#,##0.0\);_(* &quot;-&quot;?_);_(@_)"/>
    <numFmt numFmtId="166" formatCode="_(* #,##0.0_);_(* \(#,##0.0\);_(* &quot;-&quot;??_);_(@_)"/>
    <numFmt numFmtId="167" formatCode="0.0000"/>
    <numFmt numFmtId="168" formatCode="0.0"/>
    <numFmt numFmtId="169" formatCode="_(* #,##0.0000_);_(* \(#,##0.0000\);_(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3" fontId="3" fillId="0" borderId="0" applyFont="0" applyFill="0" applyBorder="0" applyAlignment="0" applyProtection="0"/>
    <xf numFmtId="40" fontId="7" fillId="0" borderId="0"/>
    <xf numFmtId="40" fontId="7" fillId="0" borderId="0"/>
    <xf numFmtId="40" fontId="7" fillId="0" borderId="0"/>
    <xf numFmtId="0" fontId="3" fillId="0" borderId="0"/>
    <xf numFmtId="0" fontId="2" fillId="0" borderId="0"/>
    <xf numFmtId="0" fontId="1" fillId="0" borderId="0"/>
    <xf numFmtId="40" fontId="7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2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0" applyFont="1"/>
    <xf numFmtId="0" fontId="4" fillId="0" borderId="0" xfId="0" applyFont="1"/>
    <xf numFmtId="40" fontId="8" fillId="0" borderId="0" xfId="0" applyNumberFormat="1" applyFont="1" applyAlignment="1">
      <alignment wrapText="1"/>
    </xf>
    <xf numFmtId="40" fontId="4" fillId="0" borderId="0" xfId="2" applyFont="1" applyAlignment="1">
      <alignment wrapText="1"/>
    </xf>
    <xf numFmtId="0" fontId="5" fillId="0" borderId="0" xfId="0" applyFont="1"/>
    <xf numFmtId="49" fontId="0" fillId="0" borderId="0" xfId="0" quotePrefix="1" applyNumberFormat="1" applyAlignment="1">
      <alignment wrapText="1"/>
    </xf>
    <xf numFmtId="49" fontId="0" fillId="0" borderId="0" xfId="0" applyNumberFormat="1"/>
    <xf numFmtId="0" fontId="0" fillId="0" borderId="0" xfId="0" applyAlignment="1">
      <alignment vertical="top" wrapText="1"/>
    </xf>
    <xf numFmtId="49" fontId="3" fillId="0" borderId="0" xfId="0" quotePrefix="1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40" fontId="5" fillId="0" borderId="0" xfId="0" applyNumberFormat="1" applyFont="1" applyAlignment="1">
      <alignment horizontal="center" wrapText="1"/>
    </xf>
    <xf numFmtId="0" fontId="3" fillId="0" borderId="0" xfId="0" applyFont="1"/>
    <xf numFmtId="0" fontId="0" fillId="0" borderId="0" xfId="0" applyAlignment="1">
      <alignment horizontal="left"/>
    </xf>
    <xf numFmtId="40" fontId="0" fillId="0" borderId="0" xfId="0" applyNumberFormat="1"/>
    <xf numFmtId="0" fontId="3" fillId="0" borderId="0" xfId="0" quotePrefix="1" applyFont="1"/>
    <xf numFmtId="49" fontId="3" fillId="2" borderId="0" xfId="0" applyNumberFormat="1" applyFont="1" applyFill="1" applyAlignment="1">
      <alignment horizontal="center"/>
    </xf>
    <xf numFmtId="168" fontId="0" fillId="0" borderId="0" xfId="0" applyNumberFormat="1"/>
    <xf numFmtId="169" fontId="0" fillId="0" borderId="0" xfId="0" applyNumberFormat="1"/>
    <xf numFmtId="0" fontId="3" fillId="0" borderId="0" xfId="5"/>
    <xf numFmtId="168" fontId="3" fillId="0" borderId="0" xfId="5" applyNumberFormat="1"/>
    <xf numFmtId="1" fontId="3" fillId="0" borderId="0" xfId="5" applyNumberFormat="1"/>
    <xf numFmtId="0" fontId="3" fillId="0" borderId="0" xfId="5" quotePrefix="1"/>
    <xf numFmtId="164" fontId="3" fillId="0" borderId="0" xfId="5" applyNumberFormat="1"/>
    <xf numFmtId="40" fontId="3" fillId="0" borderId="0" xfId="5" applyNumberFormat="1" applyAlignment="1">
      <alignment horizontal="left"/>
    </xf>
    <xf numFmtId="0" fontId="3" fillId="4" borderId="0" xfId="5" quotePrefix="1" applyFill="1"/>
    <xf numFmtId="40" fontId="3" fillId="4" borderId="0" xfId="5" applyNumberFormat="1" applyFill="1" applyAlignment="1">
      <alignment horizontal="left"/>
    </xf>
    <xf numFmtId="0" fontId="3" fillId="4" borderId="0" xfId="5" applyFill="1"/>
    <xf numFmtId="0" fontId="3" fillId="0" borderId="0" xfId="5" applyFill="1"/>
    <xf numFmtId="168" fontId="3" fillId="0" borderId="0" xfId="5" applyNumberFormat="1" applyFill="1"/>
    <xf numFmtId="1" fontId="3" fillId="0" borderId="0" xfId="5" applyNumberFormat="1" applyFill="1"/>
    <xf numFmtId="40" fontId="3" fillId="0" borderId="0" xfId="5" applyNumberFormat="1" applyFill="1" applyAlignment="1">
      <alignment horizontal="left"/>
    </xf>
  </cellXfs>
  <cellStyles count="11">
    <cellStyle name="Comma0" xfId="1" xr:uid="{00000000-0005-0000-0000-000000000000}"/>
    <cellStyle name="Normal" xfId="0" builtinId="0"/>
    <cellStyle name="Normal 2" xfId="2" xr:uid="{00000000-0005-0000-0000-000002000000}"/>
    <cellStyle name="Normal 2 2" xfId="5" xr:uid="{00000000-0005-0000-0000-000003000000}"/>
    <cellStyle name="Normal 2 2 2" xfId="8" xr:uid="{A22F686D-BA25-459D-B84B-BDACB90D15B6}"/>
    <cellStyle name="Normal 3" xfId="6" xr:uid="{00000000-0005-0000-0000-000004000000}"/>
    <cellStyle name="Normal 3 2" xfId="10" xr:uid="{1A61C939-2004-45DE-B1E0-E4816FB3BB88}"/>
    <cellStyle name="Normal 4" xfId="7" xr:uid="{FE7CE6E8-54A2-4378-8EBB-3685128EE7E5}"/>
    <cellStyle name="Normal 5" xfId="3" xr:uid="{00000000-0005-0000-0000-000005000000}"/>
    <cellStyle name="Normal 5 2" xfId="4" xr:uid="{00000000-0005-0000-0000-000006000000}"/>
    <cellStyle name="Percent 2" xfId="9" xr:uid="{735D082F-2486-4DF0-A440-657348F2B8F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SFU\Institute%20Charter\Denver%20Adjusted%20At-risk%20Funding%20with%20Concentration%23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PSFARUNS\FY25%20Projections\January062025Data\CSI%20Averaging%20FTE%20Counts%20Updated%20with%20FY24-25.xlsx" TargetMode="External"/><Relationship Id="rId1" Type="http://schemas.openxmlformats.org/officeDocument/2006/relationships/externalLinkPath" Target="/PSFARUNS/FY25%20Projections/January062025Data/CSI%20Averaging%20FTE%20Counts%20Updated%20with%20FY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mar Blair"/>
      <sheetName val="Original Form"/>
      <sheetName val="Calculation Form"/>
      <sheetName val="Inputs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2">
          <cell r="A2" t="str">
            <v>District Code</v>
          </cell>
          <cell r="D2" t="str">
            <v>Funded Pupil Count</v>
          </cell>
          <cell r="E2" t="str">
            <v>At-Risk Pupil Count</v>
          </cell>
          <cell r="F2" t="str">
            <v xml:space="preserve">Total Formula Per Pupil Funding </v>
          </cell>
          <cell r="G2" t="str">
            <v>Total At-Risk Funding</v>
          </cell>
          <cell r="H2" t="str">
            <v>K-12 Membership</v>
          </cell>
          <cell r="I2" t="str">
            <v>Total Program Funding</v>
          </cell>
        </row>
        <row r="4">
          <cell r="A4" t="str">
            <v>0010</v>
          </cell>
          <cell r="B4" t="str">
            <v>ADAMS</v>
          </cell>
          <cell r="C4" t="str">
            <v>MAPLETON</v>
          </cell>
          <cell r="D4">
            <v>5326.2</v>
          </cell>
          <cell r="E4">
            <v>2548</v>
          </cell>
          <cell r="F4">
            <v>5800.53</v>
          </cell>
          <cell r="G4">
            <v>2005793.99</v>
          </cell>
          <cell r="H4">
            <v>5210.5</v>
          </cell>
          <cell r="I4">
            <v>32900592.23</v>
          </cell>
        </row>
        <row r="5">
          <cell r="A5" t="str">
            <v>0020</v>
          </cell>
          <cell r="B5" t="str">
            <v>ADAMS</v>
          </cell>
          <cell r="C5" t="str">
            <v>ADAMS 12 FIVE STAR</v>
          </cell>
          <cell r="D5">
            <v>35710.5</v>
          </cell>
          <cell r="E5">
            <v>8338</v>
          </cell>
          <cell r="F5">
            <v>5824.91</v>
          </cell>
          <cell r="G5">
            <v>5585329.5499999998</v>
          </cell>
          <cell r="H5">
            <v>35641.5</v>
          </cell>
          <cell r="I5">
            <v>213342986.32999998</v>
          </cell>
        </row>
        <row r="6">
          <cell r="A6" t="str">
            <v>0030</v>
          </cell>
          <cell r="B6" t="str">
            <v>ADAMS</v>
          </cell>
          <cell r="C6" t="str">
            <v>COMMERCE CITY</v>
          </cell>
          <cell r="D6">
            <v>6161.5</v>
          </cell>
          <cell r="E6">
            <v>4451</v>
          </cell>
          <cell r="F6">
            <v>5757.89</v>
          </cell>
          <cell r="G6">
            <v>4876651.7699999996</v>
          </cell>
          <cell r="H6">
            <v>6059.5</v>
          </cell>
          <cell r="I6">
            <v>40353034.359999999</v>
          </cell>
        </row>
        <row r="7">
          <cell r="A7" t="str">
            <v>0040</v>
          </cell>
          <cell r="B7" t="str">
            <v>ADAMS</v>
          </cell>
          <cell r="C7" t="str">
            <v>BRIGHTON</v>
          </cell>
          <cell r="D7">
            <v>9842.5</v>
          </cell>
          <cell r="E7">
            <v>2726</v>
          </cell>
          <cell r="F7">
            <v>5766.79</v>
          </cell>
          <cell r="G7">
            <v>1807830.87</v>
          </cell>
          <cell r="H7">
            <v>9753.1</v>
          </cell>
          <cell r="I7">
            <v>58567457.600000001</v>
          </cell>
        </row>
        <row r="8">
          <cell r="A8" t="str">
            <v>0050</v>
          </cell>
          <cell r="B8" t="str">
            <v>ADAMS</v>
          </cell>
          <cell r="C8" t="str">
            <v>BENNETT</v>
          </cell>
          <cell r="D8">
            <v>1087</v>
          </cell>
          <cell r="E8">
            <v>174</v>
          </cell>
          <cell r="F8">
            <v>6220.36</v>
          </cell>
          <cell r="G8">
            <v>124469.37</v>
          </cell>
          <cell r="H8">
            <v>1079.5999999999999</v>
          </cell>
          <cell r="I8">
            <v>6885999.1199999992</v>
          </cell>
        </row>
        <row r="9">
          <cell r="A9" t="str">
            <v>0060</v>
          </cell>
          <cell r="B9" t="str">
            <v>ADAMS</v>
          </cell>
          <cell r="C9" t="str">
            <v>STRASBURG</v>
          </cell>
          <cell r="D9">
            <v>887</v>
          </cell>
          <cell r="E9">
            <v>86</v>
          </cell>
          <cell r="F9">
            <v>6350.27</v>
          </cell>
          <cell r="G9">
            <v>62804.2</v>
          </cell>
          <cell r="H9">
            <v>884.1</v>
          </cell>
          <cell r="I9">
            <v>5695496.25</v>
          </cell>
        </row>
        <row r="10">
          <cell r="A10" t="str">
            <v>0070</v>
          </cell>
          <cell r="B10" t="str">
            <v>ADAMS</v>
          </cell>
          <cell r="C10" t="str">
            <v>WESTMINSTER</v>
          </cell>
          <cell r="D10">
            <v>10014.4</v>
          </cell>
          <cell r="E10">
            <v>6063</v>
          </cell>
          <cell r="F10">
            <v>5771.2</v>
          </cell>
          <cell r="G10">
            <v>5721973.2599999998</v>
          </cell>
          <cell r="H10">
            <v>9739.2999999999993</v>
          </cell>
          <cell r="I10">
            <v>63517087.729999997</v>
          </cell>
        </row>
        <row r="11">
          <cell r="A11" t="str">
            <v>0100</v>
          </cell>
          <cell r="B11" t="str">
            <v>ALAMOSA</v>
          </cell>
          <cell r="C11" t="str">
            <v>ALAMOSA</v>
          </cell>
          <cell r="D11">
            <v>2329</v>
          </cell>
          <cell r="E11">
            <v>1223</v>
          </cell>
          <cell r="F11">
            <v>5515.48</v>
          </cell>
          <cell r="G11">
            <v>982627.19</v>
          </cell>
          <cell r="H11">
            <v>2263.8000000000002</v>
          </cell>
          <cell r="I11">
            <v>13829915.710000001</v>
          </cell>
        </row>
        <row r="12">
          <cell r="A12" t="str">
            <v>0110</v>
          </cell>
          <cell r="B12" t="str">
            <v>ALAMOSA</v>
          </cell>
          <cell r="C12" t="str">
            <v>SANGRE DE CRISTO</v>
          </cell>
          <cell r="D12">
            <v>313</v>
          </cell>
          <cell r="E12">
            <v>168</v>
          </cell>
          <cell r="F12">
            <v>7615.87</v>
          </cell>
          <cell r="G12">
            <v>147138.69</v>
          </cell>
          <cell r="H12">
            <v>304.5</v>
          </cell>
          <cell r="I12">
            <v>2530907.34</v>
          </cell>
        </row>
        <row r="13">
          <cell r="A13" t="str">
            <v>0120</v>
          </cell>
          <cell r="B13" t="str">
            <v>ARAPAHOE</v>
          </cell>
          <cell r="C13" t="str">
            <v>ENGLEWOOD</v>
          </cell>
          <cell r="D13">
            <v>3790.8</v>
          </cell>
          <cell r="E13">
            <v>1504</v>
          </cell>
          <cell r="F13">
            <v>5890.86</v>
          </cell>
          <cell r="G13">
            <v>1105393.25</v>
          </cell>
          <cell r="H13">
            <v>3561</v>
          </cell>
          <cell r="I13">
            <v>23436470.18</v>
          </cell>
        </row>
        <row r="14">
          <cell r="A14" t="str">
            <v>0123</v>
          </cell>
          <cell r="B14" t="str">
            <v>ARAPAHOE</v>
          </cell>
          <cell r="C14" t="str">
            <v>SHERIDAN</v>
          </cell>
          <cell r="D14">
            <v>1703.5</v>
          </cell>
          <cell r="E14">
            <v>1027</v>
          </cell>
          <cell r="F14">
            <v>6171.39</v>
          </cell>
          <cell r="G14">
            <v>1083362</v>
          </cell>
          <cell r="H14">
            <v>1569.1</v>
          </cell>
          <cell r="I14">
            <v>11596323.939999999</v>
          </cell>
        </row>
        <row r="15">
          <cell r="A15" t="str">
            <v>0130</v>
          </cell>
          <cell r="B15" t="str">
            <v>ARAPAHOE</v>
          </cell>
          <cell r="C15" t="str">
            <v>CHERRY CREEK</v>
          </cell>
          <cell r="D15">
            <v>45964</v>
          </cell>
          <cell r="E15">
            <v>6493</v>
          </cell>
          <cell r="F15">
            <v>5996.36</v>
          </cell>
          <cell r="G15">
            <v>4477453.3099999996</v>
          </cell>
          <cell r="H15">
            <v>46071.9</v>
          </cell>
          <cell r="I15">
            <v>280094223.13999999</v>
          </cell>
        </row>
        <row r="16">
          <cell r="A16" t="str">
            <v>0140</v>
          </cell>
          <cell r="B16" t="str">
            <v>ARAPAHOE</v>
          </cell>
          <cell r="C16" t="str">
            <v>LITTLETON</v>
          </cell>
          <cell r="D16">
            <v>15634</v>
          </cell>
          <cell r="E16">
            <v>1996</v>
          </cell>
          <cell r="F16">
            <v>5858.79</v>
          </cell>
          <cell r="G16">
            <v>1344826.93</v>
          </cell>
          <cell r="H16">
            <v>15383.6</v>
          </cell>
          <cell r="I16">
            <v>92941168.429999992</v>
          </cell>
        </row>
        <row r="17">
          <cell r="A17" t="str">
            <v>0170</v>
          </cell>
          <cell r="B17" t="str">
            <v>ARAPAHOE</v>
          </cell>
          <cell r="C17" t="str">
            <v>DEER TRAIL</v>
          </cell>
          <cell r="D17">
            <v>209.5</v>
          </cell>
          <cell r="E17">
            <v>40</v>
          </cell>
          <cell r="F17">
            <v>9911.91</v>
          </cell>
          <cell r="G17">
            <v>45594.76</v>
          </cell>
          <cell r="H17">
            <v>207.5</v>
          </cell>
          <cell r="I17">
            <v>2122138.87</v>
          </cell>
        </row>
        <row r="18">
          <cell r="A18" t="str">
            <v>0180</v>
          </cell>
          <cell r="B18" t="str">
            <v>ARAPAHOE</v>
          </cell>
          <cell r="C18" t="str">
            <v>AURORA</v>
          </cell>
          <cell r="D18">
            <v>30494</v>
          </cell>
          <cell r="E18">
            <v>15939</v>
          </cell>
          <cell r="F18">
            <v>5908.44</v>
          </cell>
          <cell r="G18">
            <v>13353058.35</v>
          </cell>
          <cell r="H18">
            <v>30600</v>
          </cell>
          <cell r="I18">
            <v>193524928.32999998</v>
          </cell>
        </row>
        <row r="19">
          <cell r="A19" t="str">
            <v>0190</v>
          </cell>
          <cell r="B19" t="str">
            <v>ARAPAHOE</v>
          </cell>
          <cell r="C19" t="str">
            <v>BYERS</v>
          </cell>
          <cell r="D19">
            <v>494.9</v>
          </cell>
          <cell r="E19">
            <v>89</v>
          </cell>
          <cell r="F19">
            <v>6820.34</v>
          </cell>
          <cell r="G19">
            <v>69806.14</v>
          </cell>
          <cell r="H19">
            <v>467.5</v>
          </cell>
          <cell r="I19">
            <v>3445190.48</v>
          </cell>
        </row>
        <row r="20">
          <cell r="A20" t="str">
            <v>0220</v>
          </cell>
          <cell r="B20" t="str">
            <v>ARCHULETA</v>
          </cell>
          <cell r="C20" t="str">
            <v>ARCHULETA</v>
          </cell>
          <cell r="D20">
            <v>1621</v>
          </cell>
          <cell r="E20">
            <v>509</v>
          </cell>
          <cell r="F20">
            <v>5926.38</v>
          </cell>
          <cell r="G20">
            <v>348121.57</v>
          </cell>
          <cell r="H20">
            <v>1560.5</v>
          </cell>
          <cell r="I20">
            <v>9954784.040000001</v>
          </cell>
        </row>
        <row r="21">
          <cell r="A21" t="str">
            <v>0230</v>
          </cell>
          <cell r="B21" t="str">
            <v>BACA</v>
          </cell>
          <cell r="C21" t="str">
            <v>WALSH</v>
          </cell>
          <cell r="D21">
            <v>189.8</v>
          </cell>
          <cell r="E21">
            <v>73</v>
          </cell>
          <cell r="F21">
            <v>9377.51</v>
          </cell>
          <cell r="G21">
            <v>78724.210000000006</v>
          </cell>
          <cell r="H21">
            <v>162</v>
          </cell>
          <cell r="I21">
            <v>1858575.85</v>
          </cell>
        </row>
        <row r="22">
          <cell r="A22" t="str">
            <v>0240</v>
          </cell>
          <cell r="B22" t="str">
            <v>BACA</v>
          </cell>
          <cell r="C22" t="str">
            <v>PRITCHETT</v>
          </cell>
          <cell r="D22">
            <v>68.5</v>
          </cell>
          <cell r="E22">
            <v>32</v>
          </cell>
          <cell r="F22">
            <v>11571.42</v>
          </cell>
          <cell r="G22">
            <v>42582.82</v>
          </cell>
          <cell r="H22">
            <v>67</v>
          </cell>
          <cell r="I22">
            <v>835225</v>
          </cell>
        </row>
        <row r="23">
          <cell r="A23" t="str">
            <v>0250</v>
          </cell>
          <cell r="B23" t="str">
            <v>BACA</v>
          </cell>
          <cell r="C23" t="str">
            <v>SPRINGFIELD</v>
          </cell>
          <cell r="D23">
            <v>313.3</v>
          </cell>
          <cell r="E23">
            <v>160</v>
          </cell>
          <cell r="F23">
            <v>7436.32</v>
          </cell>
          <cell r="G23">
            <v>136828.26999999999</v>
          </cell>
          <cell r="H23">
            <v>290.5</v>
          </cell>
          <cell r="I23">
            <v>2466627.02</v>
          </cell>
        </row>
        <row r="24">
          <cell r="A24" t="str">
            <v>0260</v>
          </cell>
          <cell r="B24" t="str">
            <v>BACA</v>
          </cell>
          <cell r="C24" t="str">
            <v>VILAS</v>
          </cell>
          <cell r="D24">
            <v>472</v>
          </cell>
          <cell r="E24">
            <v>114</v>
          </cell>
          <cell r="F24">
            <v>6152.49</v>
          </cell>
          <cell r="G24">
            <v>80659.08</v>
          </cell>
          <cell r="H24">
            <v>476.9</v>
          </cell>
          <cell r="I24">
            <v>2824497.97</v>
          </cell>
        </row>
        <row r="25">
          <cell r="A25" t="str">
            <v>0270</v>
          </cell>
          <cell r="B25" t="str">
            <v>BACA</v>
          </cell>
          <cell r="C25" t="str">
            <v>CAMPO</v>
          </cell>
          <cell r="D25">
            <v>71.3</v>
          </cell>
          <cell r="E25">
            <v>27</v>
          </cell>
          <cell r="F25">
            <v>11510.59</v>
          </cell>
          <cell r="G25">
            <v>35740.379999999997</v>
          </cell>
          <cell r="H25">
            <v>69.5</v>
          </cell>
          <cell r="I25">
            <v>856445.43999999994</v>
          </cell>
        </row>
        <row r="26">
          <cell r="A26" t="str">
            <v>0290</v>
          </cell>
          <cell r="B26" t="str">
            <v>BENT</v>
          </cell>
          <cell r="C26" t="str">
            <v>LAS ANIMAS</v>
          </cell>
          <cell r="D26">
            <v>570.4</v>
          </cell>
          <cell r="E26">
            <v>350</v>
          </cell>
          <cell r="F26">
            <v>6053.11</v>
          </cell>
          <cell r="G26">
            <v>352073.38</v>
          </cell>
          <cell r="H26">
            <v>552</v>
          </cell>
          <cell r="I26">
            <v>3803310.76</v>
          </cell>
        </row>
        <row r="27">
          <cell r="A27" t="str">
            <v>0310</v>
          </cell>
          <cell r="B27" t="str">
            <v>BENT</v>
          </cell>
          <cell r="C27" t="str">
            <v>MCCLAVE</v>
          </cell>
          <cell r="D27">
            <v>250.8</v>
          </cell>
          <cell r="E27">
            <v>107</v>
          </cell>
          <cell r="F27">
            <v>8047.19</v>
          </cell>
          <cell r="G27">
            <v>99020.61</v>
          </cell>
          <cell r="H27">
            <v>235.5</v>
          </cell>
          <cell r="I27">
            <v>2117254.64</v>
          </cell>
        </row>
        <row r="28">
          <cell r="A28" t="str">
            <v>0470</v>
          </cell>
          <cell r="B28" t="str">
            <v>BOULDER</v>
          </cell>
          <cell r="C28" t="str">
            <v>ST VRAIN</v>
          </cell>
          <cell r="D28">
            <v>21324</v>
          </cell>
          <cell r="E28">
            <v>5383</v>
          </cell>
          <cell r="F28">
            <v>5864.51</v>
          </cell>
          <cell r="G28">
            <v>3630398.12</v>
          </cell>
          <cell r="H28">
            <v>21283.1</v>
          </cell>
          <cell r="I28">
            <v>128685296.53</v>
          </cell>
        </row>
        <row r="29">
          <cell r="A29" t="str">
            <v>0480</v>
          </cell>
          <cell r="B29" t="str">
            <v>BOULDER</v>
          </cell>
          <cell r="C29" t="str">
            <v>BOULDER</v>
          </cell>
          <cell r="D29">
            <v>27081</v>
          </cell>
          <cell r="E29">
            <v>3837</v>
          </cell>
          <cell r="F29">
            <v>6001.86</v>
          </cell>
          <cell r="G29">
            <v>2648349.7400000002</v>
          </cell>
          <cell r="H29">
            <v>27069</v>
          </cell>
          <cell r="I29">
            <v>165184659.56999999</v>
          </cell>
        </row>
        <row r="30">
          <cell r="A30" t="str">
            <v>0490</v>
          </cell>
          <cell r="B30" t="str">
            <v>CHAFFEE</v>
          </cell>
          <cell r="C30" t="str">
            <v>BUENA VISTA</v>
          </cell>
          <cell r="D30">
            <v>946.4</v>
          </cell>
          <cell r="E30">
            <v>207</v>
          </cell>
          <cell r="F30">
            <v>6136.02</v>
          </cell>
          <cell r="G30">
            <v>146067.88</v>
          </cell>
          <cell r="H30">
            <v>924</v>
          </cell>
          <cell r="I30">
            <v>5953194.0700000003</v>
          </cell>
        </row>
        <row r="31">
          <cell r="A31" t="str">
            <v>0500</v>
          </cell>
          <cell r="B31" t="str">
            <v>CHAFFEE</v>
          </cell>
          <cell r="C31" t="str">
            <v>SALIDA</v>
          </cell>
          <cell r="D31">
            <v>1174</v>
          </cell>
          <cell r="E31">
            <v>376</v>
          </cell>
          <cell r="F31">
            <v>5925.69</v>
          </cell>
          <cell r="G31">
            <v>256966.62</v>
          </cell>
          <cell r="H31">
            <v>1160.0999999999999</v>
          </cell>
          <cell r="I31">
            <v>7213728.8300000001</v>
          </cell>
        </row>
        <row r="32">
          <cell r="A32" t="str">
            <v>0510</v>
          </cell>
          <cell r="B32" t="str">
            <v>CHEYENNE</v>
          </cell>
          <cell r="C32" t="str">
            <v>KIT CARSON</v>
          </cell>
          <cell r="D32">
            <v>104.5</v>
          </cell>
          <cell r="E32">
            <v>65</v>
          </cell>
          <cell r="F32">
            <v>10833.13</v>
          </cell>
          <cell r="G32">
            <v>80977.67</v>
          </cell>
          <cell r="H32">
            <v>97.5</v>
          </cell>
          <cell r="I32">
            <v>1213040.1299999999</v>
          </cell>
        </row>
        <row r="33">
          <cell r="A33" t="str">
            <v>0520</v>
          </cell>
          <cell r="B33" t="str">
            <v>CHEYENNE</v>
          </cell>
          <cell r="C33" t="str">
            <v>CHEYENNE</v>
          </cell>
          <cell r="D33">
            <v>242.6</v>
          </cell>
          <cell r="E33">
            <v>71</v>
          </cell>
          <cell r="F33">
            <v>8626.76</v>
          </cell>
          <cell r="G33">
            <v>70437.52</v>
          </cell>
          <cell r="H33">
            <v>234.5</v>
          </cell>
          <cell r="I33">
            <v>2163290.2999999998</v>
          </cell>
        </row>
        <row r="34">
          <cell r="A34" t="str">
            <v>0540</v>
          </cell>
          <cell r="B34" t="str">
            <v>CLEAR CREEK</v>
          </cell>
          <cell r="C34" t="str">
            <v>CLEAR CREEK</v>
          </cell>
          <cell r="D34">
            <v>1100.5999999999999</v>
          </cell>
          <cell r="E34">
            <v>172</v>
          </cell>
          <cell r="F34">
            <v>6216.36</v>
          </cell>
          <cell r="G34">
            <v>122959.52</v>
          </cell>
          <cell r="H34">
            <v>1018.6</v>
          </cell>
          <cell r="I34">
            <v>6964680.6499999994</v>
          </cell>
        </row>
        <row r="35">
          <cell r="A35" t="str">
            <v>0550</v>
          </cell>
          <cell r="B35" t="str">
            <v>CONEJOS</v>
          </cell>
          <cell r="C35" t="str">
            <v>NORTH CONEJOS</v>
          </cell>
          <cell r="D35">
            <v>1170.9000000000001</v>
          </cell>
          <cell r="E35">
            <v>664</v>
          </cell>
          <cell r="F35">
            <v>5725.84</v>
          </cell>
          <cell r="G35">
            <v>598611.22</v>
          </cell>
          <cell r="H35">
            <v>1115.2</v>
          </cell>
          <cell r="I35">
            <v>7302150.6600000001</v>
          </cell>
        </row>
        <row r="36">
          <cell r="A36" t="str">
            <v>0560</v>
          </cell>
          <cell r="B36" t="str">
            <v>CONEJOS</v>
          </cell>
          <cell r="C36" t="str">
            <v>SANFORD</v>
          </cell>
          <cell r="D36">
            <v>329.9</v>
          </cell>
          <cell r="E36">
            <v>136</v>
          </cell>
          <cell r="F36">
            <v>7409.2</v>
          </cell>
          <cell r="G36">
            <v>115879.86</v>
          </cell>
          <cell r="H36">
            <v>305.5</v>
          </cell>
          <cell r="I36">
            <v>2560174.2799999998</v>
          </cell>
        </row>
        <row r="37">
          <cell r="A37" t="str">
            <v>0580</v>
          </cell>
          <cell r="B37" t="str">
            <v>CONEJOS</v>
          </cell>
          <cell r="C37" t="str">
            <v>SOUTH CONEJOS</v>
          </cell>
          <cell r="D37">
            <v>316.89999999999998</v>
          </cell>
          <cell r="E37">
            <v>178</v>
          </cell>
          <cell r="F37">
            <v>7582.22</v>
          </cell>
          <cell r="G37">
            <v>155208.04</v>
          </cell>
          <cell r="H37">
            <v>307.10000000000002</v>
          </cell>
          <cell r="I37">
            <v>2558013.4900000002</v>
          </cell>
        </row>
        <row r="38">
          <cell r="A38" t="str">
            <v>0640</v>
          </cell>
          <cell r="B38" t="str">
            <v>COSTILLA</v>
          </cell>
          <cell r="C38" t="str">
            <v>CENTENNIAL</v>
          </cell>
          <cell r="D38">
            <v>261.3</v>
          </cell>
          <cell r="E38">
            <v>166</v>
          </cell>
          <cell r="F38">
            <v>8093.08</v>
          </cell>
          <cell r="G38">
            <v>154496.81</v>
          </cell>
          <cell r="H38">
            <v>249</v>
          </cell>
          <cell r="I38">
            <v>2269217.46</v>
          </cell>
        </row>
        <row r="39">
          <cell r="A39" t="str">
            <v>0740</v>
          </cell>
          <cell r="B39" t="str">
            <v>COSTILLA</v>
          </cell>
          <cell r="C39" t="str">
            <v>SIERRA GRANDE</v>
          </cell>
          <cell r="D39">
            <v>297</v>
          </cell>
          <cell r="E39">
            <v>192</v>
          </cell>
          <cell r="F39">
            <v>7688.8</v>
          </cell>
          <cell r="G39">
            <v>169768.68</v>
          </cell>
          <cell r="H39">
            <v>287.39999999999998</v>
          </cell>
          <cell r="I39">
            <v>2453342.02</v>
          </cell>
        </row>
        <row r="40">
          <cell r="A40" t="str">
            <v>0770</v>
          </cell>
          <cell r="B40" t="str">
            <v>CROWLEY</v>
          </cell>
          <cell r="C40" t="str">
            <v>CROWLEY</v>
          </cell>
          <cell r="D40">
            <v>553</v>
          </cell>
          <cell r="E40">
            <v>320</v>
          </cell>
          <cell r="F40">
            <v>6260.85</v>
          </cell>
          <cell r="G40">
            <v>310227.93</v>
          </cell>
          <cell r="H40">
            <v>548.29999999999995</v>
          </cell>
          <cell r="I40">
            <v>3772477.91</v>
          </cell>
        </row>
        <row r="41">
          <cell r="A41" t="str">
            <v>0860</v>
          </cell>
          <cell r="B41" t="str">
            <v>CUSTER</v>
          </cell>
          <cell r="C41" t="str">
            <v>WESTCLIFFE</v>
          </cell>
          <cell r="D41">
            <v>495.5</v>
          </cell>
          <cell r="E41">
            <v>131</v>
          </cell>
          <cell r="F41">
            <v>6479.2</v>
          </cell>
          <cell r="G41">
            <v>97609.16</v>
          </cell>
          <cell r="H41">
            <v>491.6</v>
          </cell>
          <cell r="I41">
            <v>3308053.12</v>
          </cell>
        </row>
        <row r="42">
          <cell r="A42" t="str">
            <v>0870</v>
          </cell>
          <cell r="B42" t="str">
            <v>DELTA</v>
          </cell>
          <cell r="C42" t="str">
            <v>DELTA</v>
          </cell>
          <cell r="D42">
            <v>4952</v>
          </cell>
          <cell r="E42">
            <v>1662</v>
          </cell>
          <cell r="F42">
            <v>5662.37</v>
          </cell>
          <cell r="G42">
            <v>1090181.96</v>
          </cell>
          <cell r="H42">
            <v>4946.5</v>
          </cell>
          <cell r="I42">
            <v>29130219.960000001</v>
          </cell>
        </row>
        <row r="43">
          <cell r="A43" t="str">
            <v>0880</v>
          </cell>
          <cell r="B43" t="str">
            <v>DENVER</v>
          </cell>
          <cell r="C43" t="str">
            <v>DENVER</v>
          </cell>
          <cell r="D43">
            <v>68383.5</v>
          </cell>
          <cell r="E43">
            <v>43623</v>
          </cell>
          <cell r="F43">
            <v>5912.83</v>
          </cell>
          <cell r="G43">
            <v>46943423.600000001</v>
          </cell>
          <cell r="H43">
            <v>66690.3</v>
          </cell>
          <cell r="I43">
            <v>451206527.88999999</v>
          </cell>
        </row>
        <row r="44">
          <cell r="A44" t="str">
            <v>0890</v>
          </cell>
          <cell r="B44" t="str">
            <v>DOLORES</v>
          </cell>
          <cell r="C44" t="str">
            <v>DOLORES</v>
          </cell>
          <cell r="D44">
            <v>253.5</v>
          </cell>
          <cell r="E44">
            <v>71</v>
          </cell>
          <cell r="F44">
            <v>8696.86</v>
          </cell>
          <cell r="G44">
            <v>71009.87</v>
          </cell>
          <cell r="H44">
            <v>244</v>
          </cell>
          <cell r="I44">
            <v>2275664.16</v>
          </cell>
        </row>
        <row r="45">
          <cell r="A45" t="str">
            <v>0900</v>
          </cell>
          <cell r="B45" t="str">
            <v>DOUGLAS</v>
          </cell>
          <cell r="C45" t="str">
            <v>DOUGLAS</v>
          </cell>
          <cell r="D45">
            <v>43983</v>
          </cell>
          <cell r="E45">
            <v>1802</v>
          </cell>
          <cell r="F45">
            <v>5917.23</v>
          </cell>
          <cell r="G45">
            <v>1226227.42</v>
          </cell>
          <cell r="H45">
            <v>44076.2</v>
          </cell>
          <cell r="I45">
            <v>261483721.00999999</v>
          </cell>
        </row>
        <row r="46">
          <cell r="A46" t="str">
            <v>0910</v>
          </cell>
          <cell r="B46" t="str">
            <v>EAGLE</v>
          </cell>
          <cell r="C46" t="str">
            <v>EAGLE</v>
          </cell>
          <cell r="D46">
            <v>4974.5</v>
          </cell>
          <cell r="E46">
            <v>1284</v>
          </cell>
          <cell r="F46">
            <v>6186.17</v>
          </cell>
          <cell r="G46">
            <v>913449.56</v>
          </cell>
          <cell r="H46">
            <v>4956</v>
          </cell>
          <cell r="I46">
            <v>31686541.919999998</v>
          </cell>
        </row>
        <row r="47">
          <cell r="A47" t="str">
            <v>0920</v>
          </cell>
          <cell r="B47" t="str">
            <v>ELBERT</v>
          </cell>
          <cell r="C47" t="str">
            <v>ELIZABETH</v>
          </cell>
          <cell r="D47">
            <v>2758</v>
          </cell>
          <cell r="E47">
            <v>150</v>
          </cell>
          <cell r="F47">
            <v>5973.78</v>
          </cell>
          <cell r="G47">
            <v>103047.71</v>
          </cell>
          <cell r="H47">
            <v>2737.4</v>
          </cell>
          <cell r="I47">
            <v>16578732.99</v>
          </cell>
        </row>
        <row r="48">
          <cell r="A48" t="str">
            <v>0930</v>
          </cell>
          <cell r="B48" t="str">
            <v>ELBERT</v>
          </cell>
          <cell r="C48" t="str">
            <v>KIOWA</v>
          </cell>
          <cell r="D48">
            <v>403.1</v>
          </cell>
          <cell r="E48">
            <v>50</v>
          </cell>
          <cell r="F48">
            <v>7380.32</v>
          </cell>
          <cell r="G48">
            <v>42436.83</v>
          </cell>
          <cell r="H48">
            <v>379</v>
          </cell>
          <cell r="I48">
            <v>3017442.84</v>
          </cell>
        </row>
        <row r="49">
          <cell r="A49" t="str">
            <v>0940</v>
          </cell>
          <cell r="B49" t="str">
            <v>ELBERT</v>
          </cell>
          <cell r="C49" t="str">
            <v>BIG SANDY</v>
          </cell>
          <cell r="D49">
            <v>307.10000000000002</v>
          </cell>
          <cell r="E49">
            <v>114</v>
          </cell>
          <cell r="F49">
            <v>8189.32</v>
          </cell>
          <cell r="G49">
            <v>107362.04</v>
          </cell>
          <cell r="H49">
            <v>289.5</v>
          </cell>
          <cell r="I49">
            <v>2622303.5</v>
          </cell>
        </row>
        <row r="50">
          <cell r="A50" t="str">
            <v>0950</v>
          </cell>
          <cell r="B50" t="str">
            <v>ELBERT</v>
          </cell>
          <cell r="C50" t="str">
            <v>ELBERT</v>
          </cell>
          <cell r="D50">
            <v>272.2</v>
          </cell>
          <cell r="E50">
            <v>16</v>
          </cell>
          <cell r="F50">
            <v>8562.7099999999991</v>
          </cell>
          <cell r="G50">
            <v>15755.4</v>
          </cell>
          <cell r="H50">
            <v>268</v>
          </cell>
          <cell r="I50">
            <v>2346526.36</v>
          </cell>
        </row>
        <row r="51">
          <cell r="A51" t="str">
            <v>0960</v>
          </cell>
          <cell r="B51" t="str">
            <v>ELBERT</v>
          </cell>
          <cell r="C51" t="str">
            <v>AGATE</v>
          </cell>
          <cell r="D51">
            <v>93</v>
          </cell>
          <cell r="E51">
            <v>37</v>
          </cell>
          <cell r="F51">
            <v>11968.16</v>
          </cell>
          <cell r="G51">
            <v>50924.5</v>
          </cell>
          <cell r="H51">
            <v>92</v>
          </cell>
          <cell r="I51">
            <v>1163963</v>
          </cell>
        </row>
        <row r="52">
          <cell r="A52" t="str">
            <v>0970</v>
          </cell>
          <cell r="B52" t="str">
            <v>EL PASO</v>
          </cell>
          <cell r="C52" t="str">
            <v>CALHAN</v>
          </cell>
          <cell r="D52">
            <v>696.5</v>
          </cell>
          <cell r="E52">
            <v>186</v>
          </cell>
          <cell r="F52">
            <v>6546.49</v>
          </cell>
          <cell r="G52">
            <v>140029.47</v>
          </cell>
          <cell r="H52">
            <v>683.9</v>
          </cell>
          <cell r="I52">
            <v>4699661.29</v>
          </cell>
        </row>
        <row r="53">
          <cell r="A53" t="str">
            <v>0980</v>
          </cell>
          <cell r="B53" t="str">
            <v>EL PASO</v>
          </cell>
          <cell r="C53" t="str">
            <v>HARRISON</v>
          </cell>
          <cell r="D53">
            <v>10315.200000000001</v>
          </cell>
          <cell r="E53">
            <v>5788</v>
          </cell>
          <cell r="F53">
            <v>5737.03</v>
          </cell>
          <cell r="G53">
            <v>5064506.32</v>
          </cell>
          <cell r="H53">
            <v>10103.799999999999</v>
          </cell>
          <cell r="I53">
            <v>64243094.810000002</v>
          </cell>
        </row>
        <row r="54">
          <cell r="A54" t="str">
            <v>0990</v>
          </cell>
          <cell r="B54" t="str">
            <v>EL PASO</v>
          </cell>
          <cell r="C54" t="str">
            <v>WIDEFIELD</v>
          </cell>
          <cell r="D54">
            <v>8070.1</v>
          </cell>
          <cell r="E54">
            <v>2057</v>
          </cell>
          <cell r="F54">
            <v>5601.73</v>
          </cell>
          <cell r="G54">
            <v>1325116.93</v>
          </cell>
          <cell r="H54">
            <v>7977.5</v>
          </cell>
          <cell r="I54">
            <v>46531627.629999995</v>
          </cell>
        </row>
        <row r="55">
          <cell r="A55" t="str">
            <v>1000</v>
          </cell>
          <cell r="B55" t="str">
            <v>EL PASO</v>
          </cell>
          <cell r="C55" t="str">
            <v>FOUNTAIN</v>
          </cell>
          <cell r="D55">
            <v>5804.5</v>
          </cell>
          <cell r="E55">
            <v>1338</v>
          </cell>
          <cell r="F55">
            <v>5640.56</v>
          </cell>
          <cell r="G55">
            <v>867912.36</v>
          </cell>
          <cell r="H55">
            <v>5781</v>
          </cell>
          <cell r="I55">
            <v>33608520.049999997</v>
          </cell>
        </row>
        <row r="56">
          <cell r="A56" t="str">
            <v>1010</v>
          </cell>
          <cell r="B56" t="str">
            <v>EL PASO</v>
          </cell>
          <cell r="C56" t="str">
            <v>COLORADO SPRINGS</v>
          </cell>
          <cell r="D56">
            <v>30194.6</v>
          </cell>
          <cell r="E56">
            <v>11216</v>
          </cell>
          <cell r="F56">
            <v>5750.17</v>
          </cell>
          <cell r="G56">
            <v>7686876.2199999997</v>
          </cell>
          <cell r="H56">
            <v>29690.3</v>
          </cell>
          <cell r="I56">
            <v>181311013.34</v>
          </cell>
        </row>
        <row r="57">
          <cell r="A57" t="str">
            <v>1020</v>
          </cell>
          <cell r="B57" t="str">
            <v>EL PASO</v>
          </cell>
          <cell r="C57" t="str">
            <v>CHEYENNE MOUNTAIN</v>
          </cell>
          <cell r="D57">
            <v>4319</v>
          </cell>
          <cell r="E57">
            <v>306</v>
          </cell>
          <cell r="F57">
            <v>5723.05</v>
          </cell>
          <cell r="G57">
            <v>201394.3</v>
          </cell>
          <cell r="H57">
            <v>4367</v>
          </cell>
          <cell r="I57">
            <v>24919268.630000003</v>
          </cell>
        </row>
        <row r="58">
          <cell r="A58" t="str">
            <v>1030</v>
          </cell>
          <cell r="B58" t="str">
            <v>EL PASO</v>
          </cell>
          <cell r="C58" t="str">
            <v>MANITOU SPRINGS</v>
          </cell>
          <cell r="D58">
            <v>1297.5</v>
          </cell>
          <cell r="E58">
            <v>218</v>
          </cell>
          <cell r="F58">
            <v>6128.59</v>
          </cell>
          <cell r="G58">
            <v>153643.72</v>
          </cell>
          <cell r="H58">
            <v>1285.4000000000001</v>
          </cell>
          <cell r="I58">
            <v>8105487.5099999998</v>
          </cell>
        </row>
        <row r="59">
          <cell r="A59" t="str">
            <v>1040</v>
          </cell>
          <cell r="B59" t="str">
            <v>EL PASO</v>
          </cell>
          <cell r="C59" t="str">
            <v>ACADEMY</v>
          </cell>
          <cell r="D59">
            <v>19360</v>
          </cell>
          <cell r="E59">
            <v>889</v>
          </cell>
          <cell r="F59">
            <v>5784.2</v>
          </cell>
          <cell r="G59">
            <v>591347.81000000006</v>
          </cell>
          <cell r="H59">
            <v>19524.599999999999</v>
          </cell>
          <cell r="I59">
            <v>112573482.72</v>
          </cell>
        </row>
        <row r="60">
          <cell r="A60" t="str">
            <v>1050</v>
          </cell>
          <cell r="B60" t="str">
            <v>EL PASO</v>
          </cell>
          <cell r="C60" t="str">
            <v>ELLICOTT</v>
          </cell>
          <cell r="D60">
            <v>932</v>
          </cell>
          <cell r="E60">
            <v>383</v>
          </cell>
          <cell r="F60">
            <v>6246.76</v>
          </cell>
          <cell r="G60">
            <v>292522.74</v>
          </cell>
          <cell r="H60">
            <v>947.9</v>
          </cell>
          <cell r="I60">
            <v>6114506.1999999993</v>
          </cell>
        </row>
        <row r="61">
          <cell r="A61" t="str">
            <v>1060</v>
          </cell>
          <cell r="B61" t="str">
            <v>EL PASO</v>
          </cell>
          <cell r="C61" t="str">
            <v>PEYTON</v>
          </cell>
          <cell r="D61">
            <v>623.29999999999995</v>
          </cell>
          <cell r="E61">
            <v>98</v>
          </cell>
          <cell r="F61">
            <v>6636.41</v>
          </cell>
          <cell r="G61">
            <v>74792.36</v>
          </cell>
          <cell r="H61">
            <v>546.20000000000005</v>
          </cell>
          <cell r="I61">
            <v>4210320.12</v>
          </cell>
        </row>
        <row r="62">
          <cell r="A62" t="str">
            <v>1070</v>
          </cell>
          <cell r="B62" t="str">
            <v>EL PASO</v>
          </cell>
          <cell r="C62" t="str">
            <v>HANOVER</v>
          </cell>
          <cell r="D62">
            <v>303.60000000000002</v>
          </cell>
          <cell r="E62">
            <v>125</v>
          </cell>
          <cell r="F62">
            <v>8065.66</v>
          </cell>
          <cell r="G62">
            <v>115943.91</v>
          </cell>
          <cell r="H62">
            <v>294.5</v>
          </cell>
          <cell r="I62">
            <v>2564679.2799999998</v>
          </cell>
        </row>
        <row r="63">
          <cell r="A63" t="str">
            <v>1080</v>
          </cell>
          <cell r="B63" t="str">
            <v>EL PASO</v>
          </cell>
          <cell r="C63" t="str">
            <v>LEWIS-PALMER</v>
          </cell>
          <cell r="D63">
            <v>5557</v>
          </cell>
          <cell r="E63">
            <v>200</v>
          </cell>
          <cell r="F63">
            <v>5814.64</v>
          </cell>
          <cell r="G63">
            <v>133736.65</v>
          </cell>
          <cell r="H63">
            <v>5555.2</v>
          </cell>
          <cell r="I63">
            <v>32445673.489999998</v>
          </cell>
        </row>
        <row r="64">
          <cell r="A64" t="str">
            <v>1110</v>
          </cell>
          <cell r="B64" t="str">
            <v>EL PASO</v>
          </cell>
          <cell r="C64" t="str">
            <v>FALCON</v>
          </cell>
          <cell r="D64">
            <v>10638</v>
          </cell>
          <cell r="E64">
            <v>1072</v>
          </cell>
          <cell r="F64">
            <v>5733.01</v>
          </cell>
          <cell r="G64">
            <v>706765.88</v>
          </cell>
          <cell r="H64">
            <v>10602.2</v>
          </cell>
          <cell r="I64">
            <v>61694561.410000004</v>
          </cell>
        </row>
        <row r="65">
          <cell r="A65" t="str">
            <v>1120</v>
          </cell>
          <cell r="B65" t="str">
            <v>EL PASO</v>
          </cell>
          <cell r="C65" t="str">
            <v>EDISON</v>
          </cell>
          <cell r="D65">
            <v>131.80000000000001</v>
          </cell>
          <cell r="E65">
            <v>19</v>
          </cell>
          <cell r="F65">
            <v>11118.71</v>
          </cell>
          <cell r="G65">
            <v>24294.38</v>
          </cell>
          <cell r="H65">
            <v>127.5</v>
          </cell>
          <cell r="I65">
            <v>1324133.97</v>
          </cell>
        </row>
        <row r="66">
          <cell r="A66" t="str">
            <v>1130</v>
          </cell>
          <cell r="B66" t="str">
            <v>EL PASO</v>
          </cell>
          <cell r="C66" t="str">
            <v>MIAMI-YODER</v>
          </cell>
          <cell r="D66">
            <v>383.1</v>
          </cell>
          <cell r="E66">
            <v>172</v>
          </cell>
          <cell r="F66">
            <v>7300.31</v>
          </cell>
          <cell r="G66">
            <v>144400.19</v>
          </cell>
          <cell r="H66">
            <v>369</v>
          </cell>
          <cell r="I66">
            <v>2934704.89</v>
          </cell>
        </row>
        <row r="67">
          <cell r="A67" t="str">
            <v>1140</v>
          </cell>
          <cell r="B67" t="str">
            <v>FREMONT</v>
          </cell>
          <cell r="C67" t="str">
            <v>CANON CITY</v>
          </cell>
          <cell r="D67">
            <v>4107.3999999999996</v>
          </cell>
          <cell r="E67">
            <v>1394</v>
          </cell>
          <cell r="F67">
            <v>5488.96</v>
          </cell>
          <cell r="G67">
            <v>891991.78</v>
          </cell>
          <cell r="H67">
            <v>4005.2</v>
          </cell>
          <cell r="I67">
            <v>23438351.489999998</v>
          </cell>
        </row>
        <row r="68">
          <cell r="A68" t="str">
            <v>1150</v>
          </cell>
          <cell r="B68" t="str">
            <v>FREMONT</v>
          </cell>
          <cell r="C68" t="str">
            <v>FLORENCE</v>
          </cell>
          <cell r="D68">
            <v>1826.1</v>
          </cell>
          <cell r="E68">
            <v>683</v>
          </cell>
          <cell r="F68">
            <v>5657.25</v>
          </cell>
          <cell r="G68">
            <v>462631.23</v>
          </cell>
          <cell r="H68">
            <v>1783.5</v>
          </cell>
          <cell r="I68">
            <v>10793334.25</v>
          </cell>
        </row>
        <row r="69">
          <cell r="A69" t="str">
            <v>1160</v>
          </cell>
          <cell r="B69" t="str">
            <v>FREMONT</v>
          </cell>
          <cell r="C69" t="str">
            <v>COTOPAXI</v>
          </cell>
          <cell r="D69">
            <v>357</v>
          </cell>
          <cell r="E69">
            <v>128</v>
          </cell>
          <cell r="F69">
            <v>7303.87</v>
          </cell>
          <cell r="G69">
            <v>107513.02</v>
          </cell>
          <cell r="H69">
            <v>354</v>
          </cell>
          <cell r="I69">
            <v>2649593.4700000002</v>
          </cell>
        </row>
        <row r="70">
          <cell r="A70" t="str">
            <v>1180</v>
          </cell>
          <cell r="B70" t="str">
            <v>GARFIELD</v>
          </cell>
          <cell r="C70" t="str">
            <v>ROARING FORK</v>
          </cell>
          <cell r="D70">
            <v>4847.5</v>
          </cell>
          <cell r="E70">
            <v>1263</v>
          </cell>
          <cell r="F70">
            <v>6142.56</v>
          </cell>
          <cell r="G70">
            <v>892176.56</v>
          </cell>
          <cell r="H70">
            <v>4741.7</v>
          </cell>
          <cell r="I70">
            <v>30668250.559999999</v>
          </cell>
        </row>
        <row r="71">
          <cell r="A71" t="str">
            <v>1195</v>
          </cell>
          <cell r="B71" t="str">
            <v>GARFIELD</v>
          </cell>
          <cell r="C71" t="str">
            <v>RIFLE</v>
          </cell>
          <cell r="D71">
            <v>3704.5</v>
          </cell>
          <cell r="E71">
            <v>1194</v>
          </cell>
          <cell r="F71">
            <v>5722.65</v>
          </cell>
          <cell r="G71">
            <v>789377.89</v>
          </cell>
          <cell r="H71">
            <v>3625.8</v>
          </cell>
          <cell r="I71">
            <v>21988925.91</v>
          </cell>
        </row>
        <row r="72">
          <cell r="A72" t="str">
            <v>1220</v>
          </cell>
          <cell r="B72" t="str">
            <v>GARFIELD</v>
          </cell>
          <cell r="C72" t="str">
            <v>PARACHUTE</v>
          </cell>
          <cell r="D72">
            <v>963</v>
          </cell>
          <cell r="E72">
            <v>388</v>
          </cell>
          <cell r="F72">
            <v>6284.76</v>
          </cell>
          <cell r="G72">
            <v>300514.67</v>
          </cell>
          <cell r="H72">
            <v>943.1</v>
          </cell>
          <cell r="I72">
            <v>6352742.4300000006</v>
          </cell>
        </row>
        <row r="73">
          <cell r="A73" t="str">
            <v>1330</v>
          </cell>
          <cell r="B73" t="str">
            <v>GILPIN</v>
          </cell>
          <cell r="C73" t="str">
            <v>GILPIN</v>
          </cell>
          <cell r="D73">
            <v>361.9</v>
          </cell>
          <cell r="E73">
            <v>40</v>
          </cell>
          <cell r="F73">
            <v>7868.18</v>
          </cell>
          <cell r="G73">
            <v>36193.64</v>
          </cell>
          <cell r="H73">
            <v>319.10000000000002</v>
          </cell>
          <cell r="I73">
            <v>2883688.76</v>
          </cell>
        </row>
        <row r="74">
          <cell r="A74" t="str">
            <v>1340</v>
          </cell>
          <cell r="B74" t="str">
            <v>GRAND</v>
          </cell>
          <cell r="C74" t="str">
            <v>WEST GRAND</v>
          </cell>
          <cell r="D74">
            <v>509</v>
          </cell>
          <cell r="E74">
            <v>139</v>
          </cell>
          <cell r="F74">
            <v>6900.68</v>
          </cell>
          <cell r="G74">
            <v>110307.41</v>
          </cell>
          <cell r="H74">
            <v>503</v>
          </cell>
          <cell r="I74">
            <v>3622754.69</v>
          </cell>
        </row>
        <row r="75">
          <cell r="A75" t="str">
            <v>1350</v>
          </cell>
          <cell r="B75" t="str">
            <v>GRAND</v>
          </cell>
          <cell r="C75" t="str">
            <v>EAST GRAND</v>
          </cell>
          <cell r="D75">
            <v>1259.9000000000001</v>
          </cell>
          <cell r="E75">
            <v>128</v>
          </cell>
          <cell r="F75">
            <v>6045.65</v>
          </cell>
          <cell r="G75">
            <v>88992.02</v>
          </cell>
          <cell r="H75">
            <v>1233.5</v>
          </cell>
          <cell r="I75">
            <v>7705910.7199999997</v>
          </cell>
        </row>
        <row r="76">
          <cell r="A76" t="str">
            <v>1360</v>
          </cell>
          <cell r="B76" t="str">
            <v>GUNNISON</v>
          </cell>
          <cell r="C76" t="str">
            <v>GUNNISON</v>
          </cell>
          <cell r="D76">
            <v>1559.5</v>
          </cell>
          <cell r="E76">
            <v>215</v>
          </cell>
          <cell r="F76">
            <v>6085.73</v>
          </cell>
          <cell r="G76">
            <v>150469.56</v>
          </cell>
          <cell r="H76">
            <v>1499.9</v>
          </cell>
          <cell r="I76">
            <v>9641158.1099999994</v>
          </cell>
        </row>
        <row r="77">
          <cell r="A77" t="str">
            <v>1380</v>
          </cell>
          <cell r="B77" t="str">
            <v>HINSDALE</v>
          </cell>
          <cell r="C77" t="str">
            <v>HINSDALE</v>
          </cell>
          <cell r="D77">
            <v>69.5</v>
          </cell>
          <cell r="E77">
            <v>17</v>
          </cell>
          <cell r="F77">
            <v>12798.54</v>
          </cell>
          <cell r="G77">
            <v>25021.15</v>
          </cell>
          <cell r="H77">
            <v>64.5</v>
          </cell>
          <cell r="I77">
            <v>914519.95</v>
          </cell>
        </row>
        <row r="78">
          <cell r="A78" t="str">
            <v>1390</v>
          </cell>
          <cell r="B78" t="str">
            <v>HUERFANO</v>
          </cell>
          <cell r="C78" t="str">
            <v>HUERFANO</v>
          </cell>
          <cell r="D78">
            <v>688.8</v>
          </cell>
          <cell r="E78">
            <v>379</v>
          </cell>
          <cell r="F78">
            <v>5993.81</v>
          </cell>
          <cell r="G78">
            <v>363770.22</v>
          </cell>
          <cell r="H78">
            <v>623.79999999999995</v>
          </cell>
          <cell r="I78">
            <v>4490170.37</v>
          </cell>
        </row>
        <row r="79">
          <cell r="A79" t="str">
            <v>1400</v>
          </cell>
          <cell r="B79" t="str">
            <v>HUERFANO</v>
          </cell>
          <cell r="C79" t="str">
            <v>LA VETA</v>
          </cell>
          <cell r="D79">
            <v>244</v>
          </cell>
          <cell r="E79">
            <v>106</v>
          </cell>
          <cell r="F79">
            <v>8255.5400000000009</v>
          </cell>
          <cell r="G79">
            <v>100635</v>
          </cell>
          <cell r="H79">
            <v>239.5</v>
          </cell>
          <cell r="I79">
            <v>2114986.0099999998</v>
          </cell>
        </row>
        <row r="80">
          <cell r="A80" t="str">
            <v>1410</v>
          </cell>
          <cell r="B80" t="str">
            <v>JACKSON</v>
          </cell>
          <cell r="C80" t="str">
            <v>NORTH PARK</v>
          </cell>
          <cell r="D80">
            <v>248.4</v>
          </cell>
          <cell r="E80">
            <v>92</v>
          </cell>
          <cell r="F80">
            <v>8779.9500000000007</v>
          </cell>
          <cell r="G80">
            <v>92891.91</v>
          </cell>
          <cell r="H80">
            <v>227.5</v>
          </cell>
          <cell r="I80">
            <v>2273832.4900000002</v>
          </cell>
        </row>
        <row r="81">
          <cell r="A81" t="str">
            <v>1420</v>
          </cell>
          <cell r="B81" t="str">
            <v>JEFFERSON</v>
          </cell>
          <cell r="C81" t="str">
            <v>JEFFERSON</v>
          </cell>
          <cell r="D81">
            <v>82204.100000000006</v>
          </cell>
          <cell r="E81">
            <v>15608</v>
          </cell>
          <cell r="F81">
            <v>5873.27</v>
          </cell>
          <cell r="G81">
            <v>10542043.960000001</v>
          </cell>
          <cell r="H81">
            <v>80776.600000000006</v>
          </cell>
          <cell r="I81">
            <v>493348651.36000001</v>
          </cell>
        </row>
        <row r="82">
          <cell r="A82" t="str">
            <v>1430</v>
          </cell>
          <cell r="B82" t="str">
            <v>KIOWA</v>
          </cell>
          <cell r="C82" t="str">
            <v>EADS</v>
          </cell>
          <cell r="D82">
            <v>195.1</v>
          </cell>
          <cell r="E82">
            <v>39</v>
          </cell>
          <cell r="F82">
            <v>9143.92</v>
          </cell>
          <cell r="G82">
            <v>41010.47</v>
          </cell>
          <cell r="H82">
            <v>179</v>
          </cell>
          <cell r="I82">
            <v>1824988.57</v>
          </cell>
        </row>
        <row r="83">
          <cell r="A83" t="str">
            <v>1440</v>
          </cell>
          <cell r="B83" t="str">
            <v>KIOWA</v>
          </cell>
          <cell r="C83" t="str">
            <v>PLAINVIEW</v>
          </cell>
          <cell r="D83">
            <v>56.2</v>
          </cell>
          <cell r="E83">
            <v>19</v>
          </cell>
          <cell r="F83">
            <v>11541.59</v>
          </cell>
          <cell r="G83">
            <v>25218.37</v>
          </cell>
          <cell r="H83">
            <v>54</v>
          </cell>
          <cell r="I83">
            <v>673855.53</v>
          </cell>
        </row>
        <row r="84">
          <cell r="A84" t="str">
            <v>1450</v>
          </cell>
          <cell r="B84" t="str">
            <v>KIT CARSON</v>
          </cell>
          <cell r="C84" t="str">
            <v>ARRIBA-FLAGLER</v>
          </cell>
          <cell r="D84">
            <v>217.1</v>
          </cell>
          <cell r="E84">
            <v>79</v>
          </cell>
          <cell r="F84">
            <v>8810.1200000000008</v>
          </cell>
          <cell r="G84">
            <v>80039.98</v>
          </cell>
          <cell r="H84">
            <v>207</v>
          </cell>
          <cell r="I84">
            <v>1992718.09</v>
          </cell>
        </row>
        <row r="85">
          <cell r="A85" t="str">
            <v>1460</v>
          </cell>
          <cell r="B85" t="str">
            <v>KIT CARSON</v>
          </cell>
          <cell r="C85" t="str">
            <v>HI PLAINS</v>
          </cell>
          <cell r="D85">
            <v>115.5</v>
          </cell>
          <cell r="E85">
            <v>33</v>
          </cell>
          <cell r="F85">
            <v>10392.59</v>
          </cell>
          <cell r="G85">
            <v>39439.9</v>
          </cell>
          <cell r="H85">
            <v>113.5</v>
          </cell>
          <cell r="I85">
            <v>1239784.56</v>
          </cell>
        </row>
        <row r="86">
          <cell r="A86" t="str">
            <v>1480</v>
          </cell>
          <cell r="B86" t="str">
            <v>KIT CARSON</v>
          </cell>
          <cell r="C86" t="str">
            <v>STRATTON</v>
          </cell>
          <cell r="D86">
            <v>247.9</v>
          </cell>
          <cell r="E86">
            <v>94</v>
          </cell>
          <cell r="F86">
            <v>8233.4500000000007</v>
          </cell>
          <cell r="G86">
            <v>89003.54</v>
          </cell>
          <cell r="H86">
            <v>228</v>
          </cell>
          <cell r="I86">
            <v>2130074.62</v>
          </cell>
        </row>
        <row r="87">
          <cell r="A87" t="str">
            <v>1490</v>
          </cell>
          <cell r="B87" t="str">
            <v>KIT CARSON</v>
          </cell>
          <cell r="C87" t="str">
            <v>BETHUNE</v>
          </cell>
          <cell r="D87">
            <v>103.3</v>
          </cell>
          <cell r="E87">
            <v>55</v>
          </cell>
          <cell r="F87">
            <v>10938.45</v>
          </cell>
          <cell r="G87">
            <v>69185.67</v>
          </cell>
          <cell r="H87">
            <v>100</v>
          </cell>
          <cell r="I87">
            <v>1199127.06</v>
          </cell>
        </row>
        <row r="88">
          <cell r="A88" t="str">
            <v>1500</v>
          </cell>
          <cell r="B88" t="str">
            <v>KIT CARSON</v>
          </cell>
          <cell r="C88" t="str">
            <v>BURLINGTON</v>
          </cell>
          <cell r="D88">
            <v>766.8</v>
          </cell>
          <cell r="E88">
            <v>289</v>
          </cell>
          <cell r="F88">
            <v>5867.59</v>
          </cell>
          <cell r="G88">
            <v>204962.72</v>
          </cell>
          <cell r="H88">
            <v>735.5</v>
          </cell>
          <cell r="I88">
            <v>4704228.17</v>
          </cell>
        </row>
        <row r="89">
          <cell r="A89" t="str">
            <v>1510</v>
          </cell>
          <cell r="B89" t="str">
            <v>LAKE</v>
          </cell>
          <cell r="C89" t="str">
            <v>LAKE</v>
          </cell>
          <cell r="D89">
            <v>1122.3</v>
          </cell>
          <cell r="E89">
            <v>603</v>
          </cell>
          <cell r="F89">
            <v>6064.03</v>
          </cell>
          <cell r="G89">
            <v>554263.56000000006</v>
          </cell>
          <cell r="H89">
            <v>1060.8</v>
          </cell>
          <cell r="I89">
            <v>7359928.1400000006</v>
          </cell>
        </row>
        <row r="90">
          <cell r="A90" t="str">
            <v>1520</v>
          </cell>
          <cell r="B90" t="str">
            <v>LA PLATA</v>
          </cell>
          <cell r="C90" t="str">
            <v>DURANGO</v>
          </cell>
          <cell r="D90">
            <v>4516.6000000000004</v>
          </cell>
          <cell r="E90">
            <v>790</v>
          </cell>
          <cell r="F90">
            <v>5915.14</v>
          </cell>
          <cell r="G90">
            <v>537390.86</v>
          </cell>
          <cell r="H90">
            <v>4484.2</v>
          </cell>
          <cell r="I90">
            <v>27253731.600000001</v>
          </cell>
        </row>
        <row r="91">
          <cell r="A91" t="str">
            <v>1530</v>
          </cell>
          <cell r="B91" t="str">
            <v>LA PLATA</v>
          </cell>
          <cell r="C91" t="str">
            <v>BAYFIELD</v>
          </cell>
          <cell r="D91">
            <v>1252.5</v>
          </cell>
          <cell r="E91">
            <v>179</v>
          </cell>
          <cell r="F91">
            <v>6247.67</v>
          </cell>
          <cell r="G91">
            <v>128608.21</v>
          </cell>
          <cell r="H91">
            <v>1195.4000000000001</v>
          </cell>
          <cell r="I91">
            <v>7953809.9400000004</v>
          </cell>
        </row>
        <row r="92">
          <cell r="A92" t="str">
            <v>1540</v>
          </cell>
          <cell r="B92" t="str">
            <v>LA PLATA</v>
          </cell>
          <cell r="C92" t="str">
            <v>IGNACIO</v>
          </cell>
          <cell r="D92">
            <v>788.6</v>
          </cell>
          <cell r="E92">
            <v>384</v>
          </cell>
          <cell r="F92">
            <v>6528.18</v>
          </cell>
          <cell r="G92">
            <v>372566.27</v>
          </cell>
          <cell r="H92">
            <v>692.6</v>
          </cell>
          <cell r="I92">
            <v>5520687.7300000004</v>
          </cell>
        </row>
        <row r="93">
          <cell r="A93" t="str">
            <v>1550</v>
          </cell>
          <cell r="B93" t="str">
            <v>LARIMER</v>
          </cell>
          <cell r="C93" t="str">
            <v>POUDRE</v>
          </cell>
          <cell r="D93">
            <v>23716</v>
          </cell>
          <cell r="E93">
            <v>4671</v>
          </cell>
          <cell r="F93">
            <v>5648.44</v>
          </cell>
          <cell r="G93">
            <v>3034145.67</v>
          </cell>
          <cell r="H93">
            <v>23772</v>
          </cell>
          <cell r="I93">
            <v>136992610.28</v>
          </cell>
        </row>
        <row r="94">
          <cell r="A94" t="str">
            <v>1560</v>
          </cell>
          <cell r="B94" t="str">
            <v>LARIMER</v>
          </cell>
          <cell r="C94" t="str">
            <v>THOMPSON</v>
          </cell>
          <cell r="D94">
            <v>14316.3</v>
          </cell>
          <cell r="E94">
            <v>3373</v>
          </cell>
          <cell r="F94">
            <v>5641.06</v>
          </cell>
          <cell r="G94">
            <v>2188137.77</v>
          </cell>
          <cell r="H94">
            <v>14169.5</v>
          </cell>
          <cell r="I94">
            <v>82947200.640000001</v>
          </cell>
        </row>
        <row r="95">
          <cell r="A95" t="str">
            <v>1570</v>
          </cell>
          <cell r="B95" t="str">
            <v>LARIMER</v>
          </cell>
          <cell r="C95" t="str">
            <v>ESTES PARK</v>
          </cell>
          <cell r="D95">
            <v>1271.4000000000001</v>
          </cell>
          <cell r="E95">
            <v>284</v>
          </cell>
          <cell r="F95">
            <v>6215.51</v>
          </cell>
          <cell r="G95">
            <v>202998.61</v>
          </cell>
          <cell r="H95">
            <v>1194.5</v>
          </cell>
          <cell r="I95">
            <v>8105400.1000000006</v>
          </cell>
        </row>
        <row r="96">
          <cell r="A96" t="str">
            <v>1580</v>
          </cell>
          <cell r="B96" t="str">
            <v>LAS ANIMAS</v>
          </cell>
          <cell r="C96" t="str">
            <v>TRINIDAD</v>
          </cell>
          <cell r="D96">
            <v>1406.4</v>
          </cell>
          <cell r="E96">
            <v>695</v>
          </cell>
          <cell r="F96">
            <v>5891.46</v>
          </cell>
          <cell r="G96">
            <v>589283.55000000005</v>
          </cell>
          <cell r="H96">
            <v>1307.5</v>
          </cell>
          <cell r="I96">
            <v>8875028.5299999993</v>
          </cell>
        </row>
        <row r="97">
          <cell r="A97" t="str">
            <v>1590</v>
          </cell>
          <cell r="B97" t="str">
            <v>LAS ANIMAS</v>
          </cell>
          <cell r="C97" t="str">
            <v>PRIMERO</v>
          </cell>
          <cell r="D97">
            <v>214.5</v>
          </cell>
          <cell r="E97">
            <v>86</v>
          </cell>
          <cell r="F97">
            <v>9116.2999999999993</v>
          </cell>
          <cell r="G97">
            <v>90160.23</v>
          </cell>
          <cell r="H97">
            <v>213.6</v>
          </cell>
          <cell r="I97">
            <v>2045607.09</v>
          </cell>
        </row>
        <row r="98">
          <cell r="A98" t="str">
            <v>1600</v>
          </cell>
          <cell r="B98" t="str">
            <v>LAS ANIMAS</v>
          </cell>
          <cell r="C98" t="str">
            <v>HOEHNE</v>
          </cell>
          <cell r="D98">
            <v>345.8</v>
          </cell>
          <cell r="E98">
            <v>75</v>
          </cell>
          <cell r="F98">
            <v>7384.17</v>
          </cell>
          <cell r="G98">
            <v>63688.49</v>
          </cell>
          <cell r="H98">
            <v>337</v>
          </cell>
          <cell r="I98">
            <v>2617135.6</v>
          </cell>
        </row>
        <row r="99">
          <cell r="A99" t="str">
            <v>1620</v>
          </cell>
          <cell r="B99" t="str">
            <v>LAS ANIMAS</v>
          </cell>
          <cell r="C99" t="str">
            <v>AGUILAR</v>
          </cell>
          <cell r="D99">
            <v>139.1</v>
          </cell>
          <cell r="E99">
            <v>99</v>
          </cell>
          <cell r="F99">
            <v>10253.69</v>
          </cell>
          <cell r="G99">
            <v>116738.3</v>
          </cell>
          <cell r="H99">
            <v>132.5</v>
          </cell>
          <cell r="I99">
            <v>1543027.11</v>
          </cell>
        </row>
        <row r="100">
          <cell r="A100" t="str">
            <v>1750</v>
          </cell>
          <cell r="B100" t="str">
            <v>LAS ANIMAS</v>
          </cell>
          <cell r="C100" t="str">
            <v>BRANSON</v>
          </cell>
          <cell r="D100">
            <v>1031.0999999999999</v>
          </cell>
          <cell r="E100">
            <v>54</v>
          </cell>
          <cell r="F100">
            <v>5334.46</v>
          </cell>
          <cell r="G100">
            <v>33126.97</v>
          </cell>
          <cell r="H100">
            <v>989</v>
          </cell>
          <cell r="I100">
            <v>5865927.9000000004</v>
          </cell>
        </row>
        <row r="101">
          <cell r="A101" t="str">
            <v>1760</v>
          </cell>
          <cell r="B101" t="str">
            <v>LAS ANIMAS</v>
          </cell>
          <cell r="C101" t="str">
            <v>KIM</v>
          </cell>
          <cell r="D101">
            <v>58.3</v>
          </cell>
          <cell r="E101">
            <v>33</v>
          </cell>
          <cell r="F101">
            <v>11235.57</v>
          </cell>
          <cell r="G101">
            <v>42639</v>
          </cell>
          <cell r="H101">
            <v>56</v>
          </cell>
          <cell r="I101">
            <v>697672.86</v>
          </cell>
        </row>
        <row r="102">
          <cell r="A102" t="str">
            <v>1780</v>
          </cell>
          <cell r="B102" t="str">
            <v>LINCOLN</v>
          </cell>
          <cell r="C102" t="str">
            <v>GENOA-HUGO</v>
          </cell>
          <cell r="D102">
            <v>191.6</v>
          </cell>
          <cell r="E102">
            <v>72</v>
          </cell>
          <cell r="F102">
            <v>9564.2999999999993</v>
          </cell>
          <cell r="G102">
            <v>79192.39</v>
          </cell>
          <cell r="H102">
            <v>179</v>
          </cell>
          <cell r="I102">
            <v>1911711.96</v>
          </cell>
        </row>
        <row r="103">
          <cell r="A103" t="str">
            <v>1790</v>
          </cell>
          <cell r="B103" t="str">
            <v>LINCOLN</v>
          </cell>
          <cell r="C103" t="str">
            <v>LIMON</v>
          </cell>
          <cell r="D103">
            <v>562.79999999999995</v>
          </cell>
          <cell r="E103">
            <v>202</v>
          </cell>
          <cell r="F103">
            <v>6402.97</v>
          </cell>
          <cell r="G103">
            <v>157335.85999999999</v>
          </cell>
          <cell r="H103">
            <v>506</v>
          </cell>
          <cell r="I103">
            <v>3759500.31</v>
          </cell>
        </row>
        <row r="104">
          <cell r="A104" t="str">
            <v>1810</v>
          </cell>
          <cell r="B104" t="str">
            <v>LINCOLN</v>
          </cell>
          <cell r="C104" t="str">
            <v>KARVAL</v>
          </cell>
          <cell r="D104">
            <v>202.5</v>
          </cell>
          <cell r="E104">
            <v>68</v>
          </cell>
          <cell r="F104">
            <v>9152.81</v>
          </cell>
          <cell r="G104">
            <v>71574.97</v>
          </cell>
          <cell r="H104">
            <v>200.5</v>
          </cell>
          <cell r="I104">
            <v>1467796.02</v>
          </cell>
        </row>
        <row r="105">
          <cell r="A105" t="str">
            <v>1828</v>
          </cell>
          <cell r="B105" t="str">
            <v>LOGAN</v>
          </cell>
          <cell r="C105" t="str">
            <v>VALLEY</v>
          </cell>
          <cell r="D105">
            <v>2575.4</v>
          </cell>
          <cell r="E105">
            <v>775</v>
          </cell>
          <cell r="F105">
            <v>5622.61</v>
          </cell>
          <cell r="G105">
            <v>502573.13</v>
          </cell>
          <cell r="H105">
            <v>2390.1</v>
          </cell>
          <cell r="I105">
            <v>14983036.74</v>
          </cell>
        </row>
        <row r="106">
          <cell r="A106" t="str">
            <v>1850</v>
          </cell>
          <cell r="B106" t="str">
            <v>LOGAN</v>
          </cell>
          <cell r="C106" t="str">
            <v>FRENCHMAN</v>
          </cell>
          <cell r="D106">
            <v>197</v>
          </cell>
          <cell r="E106">
            <v>36</v>
          </cell>
          <cell r="F106">
            <v>9523.65</v>
          </cell>
          <cell r="G106">
            <v>39427.9</v>
          </cell>
          <cell r="H106">
            <v>191</v>
          </cell>
          <cell r="I106">
            <v>1915586.53</v>
          </cell>
        </row>
        <row r="107">
          <cell r="A107" t="str">
            <v>1860</v>
          </cell>
          <cell r="B107" t="str">
            <v>LOGAN</v>
          </cell>
          <cell r="C107" t="str">
            <v>BUFFALO</v>
          </cell>
          <cell r="D107">
            <v>306</v>
          </cell>
          <cell r="E107">
            <v>95</v>
          </cell>
          <cell r="F107">
            <v>7900.01</v>
          </cell>
          <cell r="G107">
            <v>86307.66</v>
          </cell>
          <cell r="H107">
            <v>302</v>
          </cell>
          <cell r="I107">
            <v>2503712.14</v>
          </cell>
        </row>
        <row r="108">
          <cell r="A108" t="str">
            <v>1870</v>
          </cell>
          <cell r="B108" t="str">
            <v>LOGAN</v>
          </cell>
          <cell r="C108" t="str">
            <v>PLATEAU</v>
          </cell>
          <cell r="D108">
            <v>154</v>
          </cell>
          <cell r="E108">
            <v>46</v>
          </cell>
          <cell r="F108">
            <v>10432.469999999999</v>
          </cell>
          <cell r="G108">
            <v>55187.79</v>
          </cell>
          <cell r="H108">
            <v>152</v>
          </cell>
          <cell r="I108">
            <v>1661788.74</v>
          </cell>
        </row>
        <row r="109">
          <cell r="A109" t="str">
            <v>1980</v>
          </cell>
          <cell r="B109" t="str">
            <v>MESA</v>
          </cell>
          <cell r="C109" t="str">
            <v>DEBEQUE</v>
          </cell>
          <cell r="D109">
            <v>185.1</v>
          </cell>
          <cell r="E109">
            <v>42</v>
          </cell>
          <cell r="F109">
            <v>9768.19</v>
          </cell>
          <cell r="G109">
            <v>47180.37</v>
          </cell>
          <cell r="H109">
            <v>174.5</v>
          </cell>
          <cell r="I109">
            <v>1855272.82</v>
          </cell>
        </row>
        <row r="110">
          <cell r="A110" t="str">
            <v>1990</v>
          </cell>
          <cell r="B110" t="str">
            <v>MESA</v>
          </cell>
          <cell r="C110" t="str">
            <v>PLATEAU VALLEY</v>
          </cell>
          <cell r="D110">
            <v>467</v>
          </cell>
          <cell r="E110">
            <v>138</v>
          </cell>
          <cell r="F110">
            <v>6504.7</v>
          </cell>
          <cell r="G110">
            <v>103276.86</v>
          </cell>
          <cell r="H110">
            <v>441.5</v>
          </cell>
          <cell r="I110">
            <v>3140973.14</v>
          </cell>
        </row>
        <row r="111">
          <cell r="A111" t="str">
            <v>2000</v>
          </cell>
          <cell r="B111" t="str">
            <v>MESA</v>
          </cell>
          <cell r="C111" t="str">
            <v>MESA VALLEY</v>
          </cell>
          <cell r="D111">
            <v>19247.5</v>
          </cell>
          <cell r="E111">
            <v>7121</v>
          </cell>
          <cell r="F111">
            <v>5466.61</v>
          </cell>
          <cell r="G111">
            <v>4616088.5999999996</v>
          </cell>
          <cell r="H111">
            <v>19154.599999999999</v>
          </cell>
          <cell r="I111">
            <v>109834690.03999999</v>
          </cell>
        </row>
        <row r="112">
          <cell r="A112" t="str">
            <v>2010</v>
          </cell>
          <cell r="B112" t="str">
            <v>MINERAL</v>
          </cell>
          <cell r="C112" t="str">
            <v>CREEDE</v>
          </cell>
          <cell r="D112">
            <v>154.30000000000001</v>
          </cell>
          <cell r="E112">
            <v>34</v>
          </cell>
          <cell r="F112">
            <v>10579.09</v>
          </cell>
          <cell r="G112">
            <v>41364.25</v>
          </cell>
          <cell r="H112">
            <v>136</v>
          </cell>
          <cell r="I112">
            <v>1673718.2</v>
          </cell>
        </row>
        <row r="113">
          <cell r="A113" t="str">
            <v>2020</v>
          </cell>
          <cell r="B113" t="str">
            <v>MOFFAT</v>
          </cell>
          <cell r="C113" t="str">
            <v>MOFFAT</v>
          </cell>
          <cell r="D113">
            <v>2291.5</v>
          </cell>
          <cell r="E113">
            <v>527</v>
          </cell>
          <cell r="F113">
            <v>5527.07</v>
          </cell>
          <cell r="G113">
            <v>334968.3</v>
          </cell>
          <cell r="H113">
            <v>2148.6999999999998</v>
          </cell>
          <cell r="I113">
            <v>13036343.5</v>
          </cell>
        </row>
        <row r="114">
          <cell r="A114" t="str">
            <v>2035</v>
          </cell>
          <cell r="B114" t="str">
            <v>MONTEZUMA</v>
          </cell>
          <cell r="C114" t="str">
            <v>MONTEZUMA</v>
          </cell>
          <cell r="D114">
            <v>3219.5</v>
          </cell>
          <cell r="E114">
            <v>1539</v>
          </cell>
          <cell r="F114">
            <v>5506.04</v>
          </cell>
          <cell r="G114">
            <v>1138645.74</v>
          </cell>
          <cell r="H114">
            <v>3195.8</v>
          </cell>
          <cell r="I114">
            <v>18865886.600000001</v>
          </cell>
        </row>
        <row r="115">
          <cell r="A115" t="str">
            <v>2055</v>
          </cell>
          <cell r="B115" t="str">
            <v>MONTEZUMA</v>
          </cell>
          <cell r="C115" t="str">
            <v>DOLORES</v>
          </cell>
          <cell r="D115">
            <v>703.9</v>
          </cell>
          <cell r="E115">
            <v>200</v>
          </cell>
          <cell r="F115">
            <v>6309.76</v>
          </cell>
          <cell r="G115">
            <v>145124.59</v>
          </cell>
          <cell r="H115">
            <v>678.5</v>
          </cell>
          <cell r="I115">
            <v>4586567.9400000004</v>
          </cell>
        </row>
        <row r="116">
          <cell r="A116" t="str">
            <v>2070</v>
          </cell>
          <cell r="B116" t="str">
            <v>MONTEZUMA</v>
          </cell>
          <cell r="C116" t="str">
            <v>MANCOS</v>
          </cell>
          <cell r="D116">
            <v>413.8</v>
          </cell>
          <cell r="E116">
            <v>178</v>
          </cell>
          <cell r="F116">
            <v>6909.77</v>
          </cell>
          <cell r="G116">
            <v>141442.91</v>
          </cell>
          <cell r="H116">
            <v>395.5</v>
          </cell>
          <cell r="I116">
            <v>2999483.41</v>
          </cell>
        </row>
        <row r="117">
          <cell r="A117" t="str">
            <v>2180</v>
          </cell>
          <cell r="B117" t="str">
            <v>MONTROSE</v>
          </cell>
          <cell r="C117" t="str">
            <v>MONTROSE</v>
          </cell>
          <cell r="D117">
            <v>5513.5</v>
          </cell>
          <cell r="E117">
            <v>2131</v>
          </cell>
          <cell r="F117">
            <v>5788.79</v>
          </cell>
          <cell r="G117">
            <v>1482954.76</v>
          </cell>
          <cell r="H117">
            <v>5502.3</v>
          </cell>
          <cell r="I117">
            <v>33399468.739999998</v>
          </cell>
        </row>
        <row r="118">
          <cell r="A118" t="str">
            <v>2190</v>
          </cell>
          <cell r="B118" t="str">
            <v>MONTROSE</v>
          </cell>
          <cell r="C118" t="str">
            <v>WEST END</v>
          </cell>
          <cell r="D118">
            <v>374.3</v>
          </cell>
          <cell r="E118">
            <v>196</v>
          </cell>
          <cell r="F118">
            <v>7766.14</v>
          </cell>
          <cell r="G118">
            <v>175048.88</v>
          </cell>
          <cell r="H118">
            <v>358.5</v>
          </cell>
          <cell r="I118">
            <v>3081916.45</v>
          </cell>
        </row>
        <row r="119">
          <cell r="A119" t="str">
            <v>2395</v>
          </cell>
          <cell r="B119" t="str">
            <v>MORGAN</v>
          </cell>
          <cell r="C119" t="str">
            <v>BRUSH</v>
          </cell>
          <cell r="D119">
            <v>1488.3</v>
          </cell>
          <cell r="E119">
            <v>684</v>
          </cell>
          <cell r="F119">
            <v>5966.95</v>
          </cell>
          <cell r="G119">
            <v>542378.41</v>
          </cell>
          <cell r="H119">
            <v>1445.5</v>
          </cell>
          <cell r="I119">
            <v>9422709.5999999996</v>
          </cell>
        </row>
        <row r="120">
          <cell r="A120" t="str">
            <v>2405</v>
          </cell>
          <cell r="B120" t="str">
            <v>MORGAN</v>
          </cell>
          <cell r="C120" t="str">
            <v>FT. MORGAN</v>
          </cell>
          <cell r="D120">
            <v>2992.7</v>
          </cell>
          <cell r="E120">
            <v>1700</v>
          </cell>
          <cell r="F120">
            <v>5730.78</v>
          </cell>
          <cell r="G120">
            <v>1492958.2</v>
          </cell>
          <cell r="H120">
            <v>2949.9</v>
          </cell>
          <cell r="I120">
            <v>18643469.93</v>
          </cell>
        </row>
        <row r="121">
          <cell r="A121" t="str">
            <v>2505</v>
          </cell>
          <cell r="B121" t="str">
            <v>MORGAN</v>
          </cell>
          <cell r="C121" t="str">
            <v>WELDON</v>
          </cell>
          <cell r="D121">
            <v>189.3</v>
          </cell>
          <cell r="E121">
            <v>70</v>
          </cell>
          <cell r="F121">
            <v>10043.540000000001</v>
          </cell>
          <cell r="G121">
            <v>80850.5</v>
          </cell>
          <cell r="H121">
            <v>176.1</v>
          </cell>
          <cell r="I121">
            <v>1982092.74</v>
          </cell>
        </row>
        <row r="122">
          <cell r="A122" t="str">
            <v>2515</v>
          </cell>
          <cell r="B122" t="str">
            <v>MORGAN</v>
          </cell>
          <cell r="C122" t="str">
            <v>WIGGINS</v>
          </cell>
          <cell r="D122">
            <v>551.4</v>
          </cell>
          <cell r="E122">
            <v>192</v>
          </cell>
          <cell r="F122">
            <v>6553.42</v>
          </cell>
          <cell r="G122">
            <v>147908.76999999999</v>
          </cell>
          <cell r="H122">
            <v>532.5</v>
          </cell>
          <cell r="I122">
            <v>3761465.68</v>
          </cell>
        </row>
        <row r="123">
          <cell r="A123" t="str">
            <v>2520</v>
          </cell>
          <cell r="B123" t="str">
            <v>OTERO</v>
          </cell>
          <cell r="C123" t="str">
            <v>EAST OTERO</v>
          </cell>
          <cell r="D123">
            <v>1622.8</v>
          </cell>
          <cell r="E123">
            <v>787</v>
          </cell>
          <cell r="F123">
            <v>5753.52</v>
          </cell>
          <cell r="G123">
            <v>635505.25</v>
          </cell>
          <cell r="H123">
            <v>1532.9</v>
          </cell>
          <cell r="I123">
            <v>9972320.4800000004</v>
          </cell>
        </row>
        <row r="124">
          <cell r="A124" t="str">
            <v>2530</v>
          </cell>
          <cell r="B124" t="str">
            <v>OTERO</v>
          </cell>
          <cell r="C124" t="str">
            <v>ROCKY FORD</v>
          </cell>
          <cell r="D124">
            <v>819.6</v>
          </cell>
          <cell r="E124">
            <v>541</v>
          </cell>
          <cell r="F124">
            <v>6084.77</v>
          </cell>
          <cell r="G124">
            <v>609072.31999999995</v>
          </cell>
          <cell r="H124">
            <v>758.4</v>
          </cell>
          <cell r="I124">
            <v>5596151.7000000002</v>
          </cell>
        </row>
        <row r="125">
          <cell r="A125" t="str">
            <v>2535</v>
          </cell>
          <cell r="B125" t="str">
            <v>OTERO</v>
          </cell>
          <cell r="C125" t="str">
            <v>MANZANOLA</v>
          </cell>
          <cell r="D125">
            <v>193</v>
          </cell>
          <cell r="E125">
            <v>132</v>
          </cell>
          <cell r="F125">
            <v>9664.73</v>
          </cell>
          <cell r="G125">
            <v>146710.56</v>
          </cell>
          <cell r="H125">
            <v>197.6</v>
          </cell>
          <cell r="I125">
            <v>2012002.86</v>
          </cell>
        </row>
        <row r="126">
          <cell r="A126" t="str">
            <v>2540</v>
          </cell>
          <cell r="B126" t="str">
            <v>OTERO</v>
          </cell>
          <cell r="C126" t="str">
            <v>FOWLER</v>
          </cell>
          <cell r="D126">
            <v>370.3</v>
          </cell>
          <cell r="E126">
            <v>95</v>
          </cell>
          <cell r="F126">
            <v>7183.68</v>
          </cell>
          <cell r="G126">
            <v>78481.649999999994</v>
          </cell>
          <cell r="H126">
            <v>362.5</v>
          </cell>
          <cell r="I126">
            <v>2738596.68</v>
          </cell>
        </row>
        <row r="127">
          <cell r="A127" t="str">
            <v>2560</v>
          </cell>
          <cell r="B127" t="str">
            <v>OTERO</v>
          </cell>
          <cell r="C127" t="str">
            <v>CHERAW</v>
          </cell>
          <cell r="D127">
            <v>208</v>
          </cell>
          <cell r="E127">
            <v>69</v>
          </cell>
          <cell r="F127">
            <v>9310.41</v>
          </cell>
          <cell r="G127">
            <v>73878.06</v>
          </cell>
          <cell r="H127">
            <v>195.5</v>
          </cell>
          <cell r="I127">
            <v>2010442.3</v>
          </cell>
        </row>
        <row r="128">
          <cell r="A128" t="str">
            <v>2570</v>
          </cell>
          <cell r="B128" t="str">
            <v>OTERO</v>
          </cell>
          <cell r="C128" t="str">
            <v>SWINK</v>
          </cell>
          <cell r="D128">
            <v>382</v>
          </cell>
          <cell r="E128">
            <v>68</v>
          </cell>
          <cell r="F128">
            <v>7130.37</v>
          </cell>
          <cell r="G128">
            <v>55759.519999999997</v>
          </cell>
          <cell r="H128">
            <v>380</v>
          </cell>
          <cell r="I128">
            <v>2779561.92</v>
          </cell>
        </row>
        <row r="129">
          <cell r="A129" t="str">
            <v>2580</v>
          </cell>
          <cell r="B129" t="str">
            <v>OURAY</v>
          </cell>
          <cell r="C129" t="str">
            <v>OURAY</v>
          </cell>
          <cell r="D129">
            <v>249</v>
          </cell>
          <cell r="E129">
            <v>39</v>
          </cell>
          <cell r="F129">
            <v>9664.2000000000007</v>
          </cell>
          <cell r="G129">
            <v>43343.94</v>
          </cell>
          <cell r="H129">
            <v>245</v>
          </cell>
          <cell r="I129">
            <v>2449729.64</v>
          </cell>
        </row>
        <row r="130">
          <cell r="A130" t="str">
            <v>2590</v>
          </cell>
          <cell r="B130" t="str">
            <v>OURAY</v>
          </cell>
          <cell r="C130" t="str">
            <v>RIDGWAY</v>
          </cell>
          <cell r="D130">
            <v>295.5</v>
          </cell>
          <cell r="E130">
            <v>50</v>
          </cell>
          <cell r="F130">
            <v>8760.58</v>
          </cell>
          <cell r="G130">
            <v>50373.33</v>
          </cell>
          <cell r="H130">
            <v>293</v>
          </cell>
          <cell r="I130">
            <v>2639124.5</v>
          </cell>
        </row>
        <row r="131">
          <cell r="A131" t="str">
            <v>2600</v>
          </cell>
          <cell r="B131" t="str">
            <v>PARK</v>
          </cell>
          <cell r="C131" t="str">
            <v>PLATTE CANYON</v>
          </cell>
          <cell r="D131">
            <v>1290.5999999999999</v>
          </cell>
          <cell r="E131">
            <v>155</v>
          </cell>
          <cell r="F131">
            <v>6259.49</v>
          </cell>
          <cell r="G131">
            <v>111575.48</v>
          </cell>
          <cell r="H131">
            <v>1220.8</v>
          </cell>
          <cell r="I131">
            <v>8190078.0999999996</v>
          </cell>
        </row>
        <row r="132">
          <cell r="A132" t="str">
            <v>2610</v>
          </cell>
          <cell r="B132" t="str">
            <v>PARK</v>
          </cell>
          <cell r="C132" t="str">
            <v>PARK</v>
          </cell>
          <cell r="D132">
            <v>547.9</v>
          </cell>
          <cell r="E132">
            <v>161</v>
          </cell>
          <cell r="F132">
            <v>6762.01</v>
          </cell>
          <cell r="G132">
            <v>125199.11</v>
          </cell>
          <cell r="H132">
            <v>526.5</v>
          </cell>
          <cell r="I132">
            <v>3830106.89</v>
          </cell>
        </row>
        <row r="133">
          <cell r="A133" t="str">
            <v>2620</v>
          </cell>
          <cell r="B133" t="str">
            <v>PHILLIPS</v>
          </cell>
          <cell r="C133" t="str">
            <v>HOLYOKE</v>
          </cell>
          <cell r="D133">
            <v>639</v>
          </cell>
          <cell r="E133">
            <v>251</v>
          </cell>
          <cell r="F133">
            <v>6185.65</v>
          </cell>
          <cell r="G133">
            <v>188538.07</v>
          </cell>
          <cell r="H133">
            <v>631.4</v>
          </cell>
          <cell r="I133">
            <v>4141168.76</v>
          </cell>
        </row>
        <row r="134">
          <cell r="A134" t="str">
            <v>2630</v>
          </cell>
          <cell r="B134" t="str">
            <v>PHILLIPS</v>
          </cell>
          <cell r="C134" t="str">
            <v>HAXTUN</v>
          </cell>
          <cell r="D134">
            <v>274.5</v>
          </cell>
          <cell r="E134">
            <v>66</v>
          </cell>
          <cell r="F134">
            <v>7741.2</v>
          </cell>
          <cell r="G134">
            <v>58755.69</v>
          </cell>
          <cell r="H134">
            <v>266</v>
          </cell>
          <cell r="I134">
            <v>2183714.6</v>
          </cell>
        </row>
        <row r="135">
          <cell r="A135" t="str">
            <v>2640</v>
          </cell>
          <cell r="B135" t="str">
            <v>PITKIN</v>
          </cell>
          <cell r="C135" t="str">
            <v>ASPEN</v>
          </cell>
          <cell r="D135">
            <v>1547</v>
          </cell>
          <cell r="E135">
            <v>58</v>
          </cell>
          <cell r="F135">
            <v>7998.87</v>
          </cell>
          <cell r="G135">
            <v>53352.49</v>
          </cell>
          <cell r="H135">
            <v>1535.5</v>
          </cell>
          <cell r="I135">
            <v>12427611.57</v>
          </cell>
        </row>
        <row r="136">
          <cell r="A136" t="str">
            <v>2650</v>
          </cell>
          <cell r="B136" t="str">
            <v>PROWERS</v>
          </cell>
          <cell r="C136" t="str">
            <v>GRANADA</v>
          </cell>
          <cell r="D136">
            <v>264.10000000000002</v>
          </cell>
          <cell r="E136">
            <v>115</v>
          </cell>
          <cell r="F136">
            <v>7918.14</v>
          </cell>
          <cell r="G136">
            <v>104717.4</v>
          </cell>
          <cell r="H136">
            <v>255</v>
          </cell>
          <cell r="I136">
            <v>2195898.21</v>
          </cell>
        </row>
        <row r="137">
          <cell r="A137" t="str">
            <v>2660</v>
          </cell>
          <cell r="B137" t="str">
            <v>PROWERS</v>
          </cell>
          <cell r="C137" t="str">
            <v>LAMAR</v>
          </cell>
          <cell r="D137">
            <v>1729.6</v>
          </cell>
          <cell r="E137">
            <v>882</v>
          </cell>
          <cell r="F137">
            <v>5675.4</v>
          </cell>
          <cell r="G137">
            <v>740205.73</v>
          </cell>
          <cell r="H137">
            <v>1600.9</v>
          </cell>
          <cell r="I137">
            <v>10556374.109999999</v>
          </cell>
        </row>
        <row r="138">
          <cell r="A138" t="str">
            <v>2670</v>
          </cell>
          <cell r="B138" t="str">
            <v>PROWERS</v>
          </cell>
          <cell r="C138" t="str">
            <v>HOLLY</v>
          </cell>
          <cell r="D138">
            <v>318.8</v>
          </cell>
          <cell r="E138">
            <v>151</v>
          </cell>
          <cell r="F138">
            <v>7169.01</v>
          </cell>
          <cell r="G138">
            <v>124489.92</v>
          </cell>
          <cell r="H138">
            <v>296</v>
          </cell>
          <cell r="I138">
            <v>2409971.5</v>
          </cell>
        </row>
        <row r="139">
          <cell r="A139" t="str">
            <v>2680</v>
          </cell>
          <cell r="B139" t="str">
            <v>PROWERS</v>
          </cell>
          <cell r="C139" t="str">
            <v>WILEY</v>
          </cell>
          <cell r="D139">
            <v>280.60000000000002</v>
          </cell>
          <cell r="E139">
            <v>139</v>
          </cell>
          <cell r="F139">
            <v>7657.32</v>
          </cell>
          <cell r="G139">
            <v>122402.21</v>
          </cell>
          <cell r="H139">
            <v>264.5</v>
          </cell>
          <cell r="I139">
            <v>2271045.37</v>
          </cell>
        </row>
        <row r="140">
          <cell r="A140" t="str">
            <v>2690</v>
          </cell>
          <cell r="B140" t="str">
            <v>PUEBLO</v>
          </cell>
          <cell r="C140" t="str">
            <v>PUEBLO CITY</v>
          </cell>
          <cell r="D140">
            <v>16792.900000000001</v>
          </cell>
          <cell r="E140">
            <v>9612</v>
          </cell>
          <cell r="F140">
            <v>5599.61</v>
          </cell>
          <cell r="G140">
            <v>8411887.5700000003</v>
          </cell>
          <cell r="H140">
            <v>16285.9</v>
          </cell>
          <cell r="I140">
            <v>102448743.28</v>
          </cell>
        </row>
        <row r="141">
          <cell r="A141" t="str">
            <v>2700</v>
          </cell>
          <cell r="B141" t="str">
            <v>PUEBLO</v>
          </cell>
          <cell r="C141" t="str">
            <v>PUEBLO RURAL</v>
          </cell>
          <cell r="D141">
            <v>7964.5</v>
          </cell>
          <cell r="E141">
            <v>1944</v>
          </cell>
          <cell r="F141">
            <v>5550.04</v>
          </cell>
          <cell r="G141">
            <v>1240767.81</v>
          </cell>
          <cell r="H141">
            <v>7899.4</v>
          </cell>
          <cell r="I141">
            <v>45444092.170000002</v>
          </cell>
        </row>
        <row r="142">
          <cell r="A142" t="str">
            <v>2710</v>
          </cell>
          <cell r="B142" t="str">
            <v>RIO BLANCO</v>
          </cell>
          <cell r="C142" t="str">
            <v>MEEKER</v>
          </cell>
          <cell r="D142">
            <v>585.6</v>
          </cell>
          <cell r="E142">
            <v>136</v>
          </cell>
          <cell r="F142">
            <v>6283.96</v>
          </cell>
          <cell r="G142">
            <v>98281.12</v>
          </cell>
          <cell r="H142">
            <v>552</v>
          </cell>
          <cell r="I142">
            <v>3778167.51</v>
          </cell>
        </row>
        <row r="143">
          <cell r="A143" t="str">
            <v>2720</v>
          </cell>
          <cell r="B143" t="str">
            <v>RIO BLANCO</v>
          </cell>
          <cell r="C143" t="str">
            <v>RANGELY</v>
          </cell>
          <cell r="D143">
            <v>502.9</v>
          </cell>
          <cell r="E143">
            <v>100</v>
          </cell>
          <cell r="F143">
            <v>6279.71</v>
          </cell>
          <cell r="G143">
            <v>72216.66</v>
          </cell>
          <cell r="H143">
            <v>440</v>
          </cell>
          <cell r="I143">
            <v>3230282.68</v>
          </cell>
        </row>
        <row r="144">
          <cell r="A144" t="str">
            <v>2730</v>
          </cell>
          <cell r="B144" t="str">
            <v>RIO GRANDE</v>
          </cell>
          <cell r="C144" t="str">
            <v>DEL NORTE</v>
          </cell>
          <cell r="D144">
            <v>678.6</v>
          </cell>
          <cell r="E144">
            <v>330</v>
          </cell>
          <cell r="F144">
            <v>6182.15</v>
          </cell>
          <cell r="G144">
            <v>284391.49</v>
          </cell>
          <cell r="H144">
            <v>648.9</v>
          </cell>
          <cell r="I144">
            <v>4479601.76</v>
          </cell>
        </row>
        <row r="145">
          <cell r="A145" t="str">
            <v>2740</v>
          </cell>
          <cell r="B145" t="str">
            <v>RIO GRANDE</v>
          </cell>
          <cell r="C145" t="str">
            <v>MONTE VISTA</v>
          </cell>
          <cell r="D145">
            <v>1285</v>
          </cell>
          <cell r="E145">
            <v>647</v>
          </cell>
          <cell r="F145">
            <v>5754.2</v>
          </cell>
          <cell r="G145">
            <v>542297.44999999995</v>
          </cell>
          <cell r="H145">
            <v>1197.9000000000001</v>
          </cell>
          <cell r="I145">
            <v>7931396.0199999996</v>
          </cell>
        </row>
        <row r="146">
          <cell r="A146" t="str">
            <v>2750</v>
          </cell>
          <cell r="B146" t="str">
            <v>RIO GRANDE</v>
          </cell>
          <cell r="C146" t="str">
            <v>SARGENT</v>
          </cell>
          <cell r="D146">
            <v>427.5</v>
          </cell>
          <cell r="E146">
            <v>134</v>
          </cell>
          <cell r="F146">
            <v>6639.06</v>
          </cell>
          <cell r="G146">
            <v>102307.9</v>
          </cell>
          <cell r="H146">
            <v>416</v>
          </cell>
          <cell r="I146">
            <v>2940505.51</v>
          </cell>
        </row>
        <row r="147">
          <cell r="A147" t="str">
            <v>2760</v>
          </cell>
          <cell r="B147" t="str">
            <v>ROUTT</v>
          </cell>
          <cell r="C147" t="str">
            <v>HAYDEN</v>
          </cell>
          <cell r="D147">
            <v>455</v>
          </cell>
          <cell r="E147">
            <v>102</v>
          </cell>
          <cell r="F147">
            <v>7032.66</v>
          </cell>
          <cell r="G147">
            <v>82493.119999999995</v>
          </cell>
          <cell r="H147">
            <v>427.5</v>
          </cell>
          <cell r="I147">
            <v>3263542.79</v>
          </cell>
        </row>
        <row r="148">
          <cell r="A148" t="str">
            <v>2770</v>
          </cell>
          <cell r="B148" t="str">
            <v>ROUTT</v>
          </cell>
          <cell r="C148" t="str">
            <v>STEAMBOAT SPRINGS</v>
          </cell>
          <cell r="D148">
            <v>1928</v>
          </cell>
          <cell r="E148">
            <v>95</v>
          </cell>
          <cell r="F148">
            <v>6204.17</v>
          </cell>
          <cell r="G148">
            <v>67780.55</v>
          </cell>
          <cell r="H148">
            <v>1914.5</v>
          </cell>
          <cell r="I148">
            <v>12029418.389999999</v>
          </cell>
        </row>
        <row r="149">
          <cell r="A149" t="str">
            <v>2780</v>
          </cell>
          <cell r="B149" t="str">
            <v>ROUTT</v>
          </cell>
          <cell r="C149" t="str">
            <v>SOUTH ROUTT</v>
          </cell>
          <cell r="D149">
            <v>401.9</v>
          </cell>
          <cell r="E149">
            <v>55</v>
          </cell>
          <cell r="F149">
            <v>7531.48</v>
          </cell>
          <cell r="G149">
            <v>47636.62</v>
          </cell>
          <cell r="H149">
            <v>382.4</v>
          </cell>
          <cell r="I149">
            <v>3074539.08</v>
          </cell>
        </row>
        <row r="150">
          <cell r="A150" t="str">
            <v>2790</v>
          </cell>
          <cell r="B150" t="str">
            <v>SAGUACHE</v>
          </cell>
          <cell r="C150" t="str">
            <v>MOUNTAIN VALLEY</v>
          </cell>
          <cell r="D150">
            <v>148.9</v>
          </cell>
          <cell r="E150">
            <v>78</v>
          </cell>
          <cell r="F150">
            <v>10132</v>
          </cell>
          <cell r="G150">
            <v>90884.03</v>
          </cell>
          <cell r="H150">
            <v>143.5</v>
          </cell>
          <cell r="I150">
            <v>1599538.74</v>
          </cell>
        </row>
        <row r="151">
          <cell r="A151" t="str">
            <v>2800</v>
          </cell>
          <cell r="B151" t="str">
            <v>SAGUACHE</v>
          </cell>
          <cell r="C151" t="str">
            <v>MOFFAT</v>
          </cell>
          <cell r="D151">
            <v>191.3</v>
          </cell>
          <cell r="E151">
            <v>54</v>
          </cell>
          <cell r="F151">
            <v>10194.76</v>
          </cell>
          <cell r="G151">
            <v>63309.48</v>
          </cell>
          <cell r="H151">
            <v>181</v>
          </cell>
          <cell r="I151">
            <v>2013567.84</v>
          </cell>
        </row>
        <row r="152">
          <cell r="A152" t="str">
            <v>2810</v>
          </cell>
          <cell r="B152" t="str">
            <v>SAGUACHE</v>
          </cell>
          <cell r="C152" t="str">
            <v>CENTER</v>
          </cell>
          <cell r="D152">
            <v>643.79999999999995</v>
          </cell>
          <cell r="E152">
            <v>512</v>
          </cell>
          <cell r="F152">
            <v>6072.4</v>
          </cell>
          <cell r="G152">
            <v>654070.55000000005</v>
          </cell>
          <cell r="H152">
            <v>629</v>
          </cell>
          <cell r="I152">
            <v>4550907</v>
          </cell>
        </row>
        <row r="153">
          <cell r="A153" t="str">
            <v>2820</v>
          </cell>
          <cell r="B153" t="str">
            <v>SAN JUAN</v>
          </cell>
          <cell r="C153" t="str">
            <v>SILVERTON</v>
          </cell>
          <cell r="D153">
            <v>57.5</v>
          </cell>
          <cell r="E153">
            <v>27</v>
          </cell>
          <cell r="F153">
            <v>12678.98</v>
          </cell>
          <cell r="G153">
            <v>39368.230000000003</v>
          </cell>
          <cell r="H153">
            <v>54</v>
          </cell>
          <cell r="I153">
            <v>768409.51</v>
          </cell>
        </row>
        <row r="154">
          <cell r="A154" t="str">
            <v>2830</v>
          </cell>
          <cell r="B154" t="str">
            <v>SAN MIGUEL</v>
          </cell>
          <cell r="C154" t="str">
            <v>TELLURIDE</v>
          </cell>
          <cell r="D154">
            <v>564.5</v>
          </cell>
          <cell r="E154">
            <v>64</v>
          </cell>
          <cell r="F154">
            <v>8522.2800000000007</v>
          </cell>
          <cell r="G154">
            <v>62723.97</v>
          </cell>
          <cell r="H154">
            <v>554.9</v>
          </cell>
          <cell r="I154">
            <v>4873550.03</v>
          </cell>
        </row>
        <row r="155">
          <cell r="A155" t="str">
            <v>2840</v>
          </cell>
          <cell r="B155" t="str">
            <v>SAN MIGUEL</v>
          </cell>
          <cell r="C155" t="str">
            <v>NORWOOD</v>
          </cell>
          <cell r="D155">
            <v>273.60000000000002</v>
          </cell>
          <cell r="E155">
            <v>56</v>
          </cell>
          <cell r="F155">
            <v>8688.9</v>
          </cell>
          <cell r="G155">
            <v>55956.53</v>
          </cell>
          <cell r="H155">
            <v>254</v>
          </cell>
          <cell r="I155">
            <v>2433240.2799999998</v>
          </cell>
        </row>
        <row r="156">
          <cell r="A156" t="str">
            <v>2862</v>
          </cell>
          <cell r="B156" t="str">
            <v>SEDGWICK</v>
          </cell>
          <cell r="C156" t="str">
            <v>JULESBURG</v>
          </cell>
          <cell r="D156">
            <v>299.89999999999998</v>
          </cell>
          <cell r="E156">
            <v>75</v>
          </cell>
          <cell r="F156">
            <v>7733.99</v>
          </cell>
          <cell r="G156">
            <v>66705.62</v>
          </cell>
          <cell r="H156">
            <v>266.5</v>
          </cell>
          <cell r="I156">
            <v>2386127.7400000002</v>
          </cell>
        </row>
        <row r="157">
          <cell r="A157" t="str">
            <v>2865</v>
          </cell>
          <cell r="B157" t="str">
            <v>SEDGWICK</v>
          </cell>
          <cell r="C157" t="str">
            <v>PLATTE VALLEY</v>
          </cell>
          <cell r="D157">
            <v>120</v>
          </cell>
          <cell r="E157">
            <v>67</v>
          </cell>
          <cell r="F157">
            <v>10852.7</v>
          </cell>
          <cell r="G157">
            <v>83620.070000000007</v>
          </cell>
          <cell r="H157">
            <v>117.5</v>
          </cell>
          <cell r="I157">
            <v>1385944.31</v>
          </cell>
        </row>
        <row r="158">
          <cell r="A158" t="str">
            <v>3000</v>
          </cell>
          <cell r="B158" t="str">
            <v>SUMMIT</v>
          </cell>
          <cell r="C158" t="str">
            <v>SUMMIT</v>
          </cell>
          <cell r="D158">
            <v>2722</v>
          </cell>
          <cell r="E158">
            <v>615</v>
          </cell>
          <cell r="F158">
            <v>6275.08</v>
          </cell>
          <cell r="G158">
            <v>443805.32</v>
          </cell>
          <cell r="H158">
            <v>2719.4</v>
          </cell>
          <cell r="I158">
            <v>17524584.169999998</v>
          </cell>
        </row>
        <row r="159">
          <cell r="A159" t="str">
            <v>3010</v>
          </cell>
          <cell r="B159" t="str">
            <v>TELLER</v>
          </cell>
          <cell r="C159" t="str">
            <v>CRIPPLE CREEK</v>
          </cell>
          <cell r="D159">
            <v>552.9</v>
          </cell>
          <cell r="E159">
            <v>190</v>
          </cell>
          <cell r="F159">
            <v>6427.99</v>
          </cell>
          <cell r="G159">
            <v>144870.24</v>
          </cell>
          <cell r="H159">
            <v>510.6</v>
          </cell>
          <cell r="I159">
            <v>3698904.14</v>
          </cell>
        </row>
        <row r="160">
          <cell r="A160" t="str">
            <v>3020</v>
          </cell>
          <cell r="B160" t="str">
            <v>TELLER</v>
          </cell>
          <cell r="C160" t="str">
            <v>WOODLAND PARK</v>
          </cell>
          <cell r="D160">
            <v>3000.3</v>
          </cell>
          <cell r="E160">
            <v>465</v>
          </cell>
          <cell r="F160">
            <v>5746.75</v>
          </cell>
          <cell r="G160">
            <v>307307.46999999997</v>
          </cell>
          <cell r="H160">
            <v>2887.2</v>
          </cell>
          <cell r="I160">
            <v>17549282.220000003</v>
          </cell>
        </row>
        <row r="161">
          <cell r="A161" t="str">
            <v>3030</v>
          </cell>
          <cell r="B161" t="str">
            <v>WASHINGTON</v>
          </cell>
          <cell r="C161" t="str">
            <v>AKRON</v>
          </cell>
          <cell r="D161">
            <v>431.5</v>
          </cell>
          <cell r="E161">
            <v>119</v>
          </cell>
          <cell r="F161">
            <v>6754.56</v>
          </cell>
          <cell r="G161">
            <v>92436.160000000003</v>
          </cell>
          <cell r="H161">
            <v>404</v>
          </cell>
          <cell r="I161">
            <v>3004898.02</v>
          </cell>
        </row>
        <row r="162">
          <cell r="A162" t="str">
            <v>3040</v>
          </cell>
          <cell r="B162" t="str">
            <v>WASHINGTON</v>
          </cell>
          <cell r="C162" t="str">
            <v>ARICKAREE</v>
          </cell>
          <cell r="D162">
            <v>90.8</v>
          </cell>
          <cell r="E162">
            <v>29</v>
          </cell>
          <cell r="F162">
            <v>11494.34</v>
          </cell>
          <cell r="G162">
            <v>38333.629999999997</v>
          </cell>
          <cell r="H162">
            <v>88.5</v>
          </cell>
          <cell r="I162">
            <v>1082019.93</v>
          </cell>
        </row>
        <row r="163">
          <cell r="A163" t="str">
            <v>3050</v>
          </cell>
          <cell r="B163" t="str">
            <v>WASHINGTON</v>
          </cell>
          <cell r="C163" t="str">
            <v>OTIS</v>
          </cell>
          <cell r="D163">
            <v>172</v>
          </cell>
          <cell r="E163">
            <v>37</v>
          </cell>
          <cell r="F163">
            <v>10074.06</v>
          </cell>
          <cell r="G163">
            <v>42865.11</v>
          </cell>
          <cell r="H163">
            <v>162</v>
          </cell>
          <cell r="I163">
            <v>1775602.98</v>
          </cell>
        </row>
        <row r="164">
          <cell r="A164" t="str">
            <v>3060</v>
          </cell>
          <cell r="B164" t="str">
            <v>WASHINGTON</v>
          </cell>
          <cell r="C164" t="str">
            <v>LONE STAR</v>
          </cell>
          <cell r="D164">
            <v>103.5</v>
          </cell>
          <cell r="E164">
            <v>22</v>
          </cell>
          <cell r="F164">
            <v>11500.01</v>
          </cell>
          <cell r="G164">
            <v>29095.02</v>
          </cell>
          <cell r="H164">
            <v>103</v>
          </cell>
          <cell r="I164">
            <v>1219345.71</v>
          </cell>
        </row>
        <row r="165">
          <cell r="A165" t="str">
            <v>3070</v>
          </cell>
          <cell r="B165" t="str">
            <v>WASHINGTON</v>
          </cell>
          <cell r="C165" t="str">
            <v>WOODLIN</v>
          </cell>
          <cell r="D165">
            <v>111.5</v>
          </cell>
          <cell r="E165">
            <v>28</v>
          </cell>
          <cell r="F165">
            <v>11031.36</v>
          </cell>
          <cell r="G165">
            <v>35520.97</v>
          </cell>
          <cell r="H165">
            <v>107</v>
          </cell>
          <cell r="I165">
            <v>1265517.28</v>
          </cell>
        </row>
        <row r="166">
          <cell r="A166" t="str">
            <v>3080</v>
          </cell>
          <cell r="B166" t="str">
            <v>WELD</v>
          </cell>
          <cell r="C166" t="str">
            <v>GILCREST</v>
          </cell>
          <cell r="D166">
            <v>1923</v>
          </cell>
          <cell r="E166">
            <v>814</v>
          </cell>
          <cell r="F166">
            <v>5808.55</v>
          </cell>
          <cell r="G166">
            <v>596630.04</v>
          </cell>
          <cell r="H166">
            <v>1884</v>
          </cell>
          <cell r="I166">
            <v>11766464.18</v>
          </cell>
        </row>
        <row r="167">
          <cell r="A167" t="str">
            <v>3085</v>
          </cell>
          <cell r="B167" t="str">
            <v>WELD</v>
          </cell>
          <cell r="C167" t="str">
            <v>EATON</v>
          </cell>
          <cell r="D167">
            <v>1568</v>
          </cell>
          <cell r="E167">
            <v>299</v>
          </cell>
          <cell r="F167">
            <v>5871.02</v>
          </cell>
          <cell r="G167">
            <v>201874.91</v>
          </cell>
          <cell r="H167">
            <v>1554.4</v>
          </cell>
          <cell r="I167">
            <v>9407629.0899999999</v>
          </cell>
        </row>
        <row r="168">
          <cell r="A168" t="str">
            <v>3090</v>
          </cell>
          <cell r="B168" t="str">
            <v>WELD</v>
          </cell>
          <cell r="C168" t="str">
            <v>KEENESBURG</v>
          </cell>
          <cell r="D168">
            <v>1848.5</v>
          </cell>
          <cell r="E168">
            <v>614</v>
          </cell>
          <cell r="F168">
            <v>5873.59</v>
          </cell>
          <cell r="G168">
            <v>418681.64</v>
          </cell>
          <cell r="H168">
            <v>1804</v>
          </cell>
          <cell r="I168">
            <v>11276016.92</v>
          </cell>
        </row>
        <row r="169">
          <cell r="A169" t="str">
            <v>3100</v>
          </cell>
          <cell r="B169" t="str">
            <v>WELD</v>
          </cell>
          <cell r="C169" t="str">
            <v>WINDSOR</v>
          </cell>
          <cell r="D169">
            <v>3090.5</v>
          </cell>
          <cell r="E169">
            <v>351</v>
          </cell>
          <cell r="F169">
            <v>5646.72</v>
          </cell>
          <cell r="G169">
            <v>227929.96</v>
          </cell>
          <cell r="H169">
            <v>3062.8</v>
          </cell>
          <cell r="I169">
            <v>17679126.440000001</v>
          </cell>
        </row>
        <row r="170">
          <cell r="A170" t="str">
            <v>3110</v>
          </cell>
          <cell r="B170" t="str">
            <v>WELD</v>
          </cell>
          <cell r="C170" t="str">
            <v>JOHNSTOWN</v>
          </cell>
          <cell r="D170">
            <v>2484</v>
          </cell>
          <cell r="E170">
            <v>586</v>
          </cell>
          <cell r="F170">
            <v>5689.14</v>
          </cell>
          <cell r="G170">
            <v>383391.23</v>
          </cell>
          <cell r="H170">
            <v>2448.1</v>
          </cell>
          <cell r="I170">
            <v>14515218.18</v>
          </cell>
        </row>
        <row r="171">
          <cell r="A171" t="str">
            <v>3120</v>
          </cell>
          <cell r="B171" t="str">
            <v>WELD</v>
          </cell>
          <cell r="C171" t="str">
            <v>GREELEY</v>
          </cell>
          <cell r="D171">
            <v>17661.5</v>
          </cell>
          <cell r="E171">
            <v>8446</v>
          </cell>
          <cell r="F171">
            <v>5639.35</v>
          </cell>
          <cell r="G171">
            <v>6405979.8600000003</v>
          </cell>
          <cell r="H171">
            <v>17513.7</v>
          </cell>
          <cell r="I171">
            <v>106005400.84999999</v>
          </cell>
        </row>
        <row r="172">
          <cell r="A172" t="str">
            <v>3130</v>
          </cell>
          <cell r="B172" t="str">
            <v>WELD</v>
          </cell>
          <cell r="C172" t="str">
            <v>PLATTE VALLEY</v>
          </cell>
          <cell r="D172">
            <v>1121</v>
          </cell>
          <cell r="E172">
            <v>321</v>
          </cell>
          <cell r="F172">
            <v>6028.4</v>
          </cell>
          <cell r="G172">
            <v>222538.41</v>
          </cell>
          <cell r="H172">
            <v>1085.9000000000001</v>
          </cell>
          <cell r="I172">
            <v>6980375.46</v>
          </cell>
        </row>
        <row r="173">
          <cell r="A173" t="str">
            <v>3140</v>
          </cell>
          <cell r="B173" t="str">
            <v>WELD</v>
          </cell>
          <cell r="C173" t="str">
            <v>FT. LUPTON</v>
          </cell>
          <cell r="D173">
            <v>2379</v>
          </cell>
          <cell r="E173">
            <v>1288</v>
          </cell>
          <cell r="F173">
            <v>5829.16</v>
          </cell>
          <cell r="G173">
            <v>1138683.93</v>
          </cell>
          <cell r="H173">
            <v>2264.1999999999998</v>
          </cell>
          <cell r="I173">
            <v>15006256.449999999</v>
          </cell>
        </row>
        <row r="174">
          <cell r="A174" t="str">
            <v>3145</v>
          </cell>
          <cell r="B174" t="str">
            <v>WELD</v>
          </cell>
          <cell r="C174" t="str">
            <v>AULT-HIGHLAND</v>
          </cell>
          <cell r="D174">
            <v>880.9</v>
          </cell>
          <cell r="E174">
            <v>363</v>
          </cell>
          <cell r="F174">
            <v>6165.97</v>
          </cell>
          <cell r="G174">
            <v>284769.59999999998</v>
          </cell>
          <cell r="H174">
            <v>826.8</v>
          </cell>
          <cell r="I174">
            <v>5716372.7000000002</v>
          </cell>
        </row>
        <row r="175">
          <cell r="A175" t="str">
            <v>3146</v>
          </cell>
          <cell r="B175" t="str">
            <v>WELD</v>
          </cell>
          <cell r="C175" t="str">
            <v>BRIGGSDALE</v>
          </cell>
          <cell r="D175">
            <v>143</v>
          </cell>
          <cell r="E175">
            <v>45</v>
          </cell>
          <cell r="F175">
            <v>10740.33</v>
          </cell>
          <cell r="G175">
            <v>55581.2</v>
          </cell>
          <cell r="H175">
            <v>143</v>
          </cell>
          <cell r="I175">
            <v>1586396.98</v>
          </cell>
        </row>
        <row r="176">
          <cell r="A176" t="str">
            <v>3147</v>
          </cell>
          <cell r="B176" t="str">
            <v>WELD</v>
          </cell>
          <cell r="C176" t="str">
            <v>PRAIRIE</v>
          </cell>
          <cell r="D176">
            <v>133.30000000000001</v>
          </cell>
          <cell r="E176">
            <v>37</v>
          </cell>
          <cell r="F176">
            <v>10923.07</v>
          </cell>
          <cell r="G176">
            <v>46477.65</v>
          </cell>
          <cell r="H176">
            <v>124.6</v>
          </cell>
          <cell r="I176">
            <v>1502522.48</v>
          </cell>
        </row>
        <row r="177">
          <cell r="A177" t="str">
            <v>3148</v>
          </cell>
          <cell r="B177" t="str">
            <v>WELD</v>
          </cell>
          <cell r="C177" t="str">
            <v>PAWNEE</v>
          </cell>
          <cell r="D177">
            <v>117.4</v>
          </cell>
          <cell r="E177">
            <v>38</v>
          </cell>
          <cell r="F177">
            <v>11243.44</v>
          </cell>
          <cell r="G177">
            <v>49133.85</v>
          </cell>
          <cell r="H177">
            <v>117</v>
          </cell>
          <cell r="I177">
            <v>1369114.17</v>
          </cell>
        </row>
        <row r="178">
          <cell r="A178" t="str">
            <v>3200</v>
          </cell>
          <cell r="B178" t="str">
            <v>YUMA</v>
          </cell>
          <cell r="C178" t="str">
            <v>YUMA 1</v>
          </cell>
          <cell r="D178">
            <v>855.8</v>
          </cell>
          <cell r="E178">
            <v>399</v>
          </cell>
          <cell r="F178">
            <v>6311.93</v>
          </cell>
          <cell r="G178">
            <v>337240.56</v>
          </cell>
          <cell r="H178">
            <v>833</v>
          </cell>
          <cell r="I178">
            <v>5738989.2800000003</v>
          </cell>
        </row>
        <row r="179">
          <cell r="A179" t="str">
            <v>3210</v>
          </cell>
          <cell r="B179" t="str">
            <v>YUMA</v>
          </cell>
          <cell r="C179" t="str">
            <v>WRAY RD-2</v>
          </cell>
          <cell r="D179">
            <v>664.1</v>
          </cell>
          <cell r="E179">
            <v>280</v>
          </cell>
          <cell r="F179">
            <v>6300.67</v>
          </cell>
          <cell r="G179">
            <v>224986.49</v>
          </cell>
          <cell r="H179">
            <v>634.9</v>
          </cell>
          <cell r="I179">
            <v>4409261.8499999996</v>
          </cell>
        </row>
        <row r="180">
          <cell r="A180" t="str">
            <v>3220</v>
          </cell>
          <cell r="B180" t="str">
            <v>YUMA</v>
          </cell>
          <cell r="C180" t="str">
            <v>IDALIA RJ-3</v>
          </cell>
          <cell r="D180">
            <v>121.5</v>
          </cell>
          <cell r="E180">
            <v>64</v>
          </cell>
          <cell r="F180">
            <v>11154.98</v>
          </cell>
          <cell r="G180">
            <v>82100.63</v>
          </cell>
          <cell r="H180">
            <v>115</v>
          </cell>
          <cell r="I180">
            <v>1437430.24</v>
          </cell>
        </row>
        <row r="181">
          <cell r="A181" t="str">
            <v>3230</v>
          </cell>
          <cell r="B181" t="str">
            <v>YUMA</v>
          </cell>
          <cell r="C181" t="str">
            <v>LIBERTY J-4</v>
          </cell>
          <cell r="D181">
            <v>94</v>
          </cell>
          <cell r="E181">
            <v>37</v>
          </cell>
          <cell r="F181">
            <v>12099.69</v>
          </cell>
          <cell r="G181">
            <v>51484.18</v>
          </cell>
          <cell r="H181">
            <v>92.5</v>
          </cell>
          <cell r="I181">
            <v>1188855.0900000001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SI Averaging by School"/>
      <sheetName val="CSI Averaging by District"/>
      <sheetName val="FY24-25"/>
      <sheetName val="FY23-24"/>
      <sheetName val="FY22-23"/>
      <sheetName val="FY21-22"/>
      <sheetName val="FY20-21"/>
      <sheetName val="FY19-20"/>
    </sheetNames>
    <sheetDataSet>
      <sheetData sheetId="0">
        <row r="2">
          <cell r="C2" t="str">
            <v>0015</v>
          </cell>
          <cell r="J2">
            <v>1843.4</v>
          </cell>
        </row>
        <row r="3">
          <cell r="C3" t="str">
            <v>3439</v>
          </cell>
          <cell r="J3">
            <v>838</v>
          </cell>
        </row>
        <row r="4">
          <cell r="C4" t="str">
            <v>6914</v>
          </cell>
          <cell r="J4">
            <v>1988.2</v>
          </cell>
        </row>
        <row r="5">
          <cell r="C5" t="str">
            <v>1882;9037;9040</v>
          </cell>
          <cell r="J5">
            <v>587.70000000000005</v>
          </cell>
        </row>
        <row r="6">
          <cell r="C6" t="str">
            <v>0655</v>
          </cell>
          <cell r="J6">
            <v>645.79999999999995</v>
          </cell>
        </row>
        <row r="7">
          <cell r="C7" t="str">
            <v>2904</v>
          </cell>
          <cell r="J7">
            <v>287.5</v>
          </cell>
        </row>
        <row r="8">
          <cell r="C8" t="str">
            <v>2035</v>
          </cell>
          <cell r="J8">
            <v>462.2</v>
          </cell>
        </row>
        <row r="9">
          <cell r="C9" t="str">
            <v>7278</v>
          </cell>
          <cell r="J9">
            <v>288</v>
          </cell>
        </row>
        <row r="10">
          <cell r="C10" t="str">
            <v>0188</v>
          </cell>
          <cell r="J10">
            <v>90</v>
          </cell>
        </row>
        <row r="11">
          <cell r="C11" t="str">
            <v>0126</v>
          </cell>
          <cell r="J11">
            <v>844</v>
          </cell>
        </row>
        <row r="12">
          <cell r="C12" t="str">
            <v>1633</v>
          </cell>
          <cell r="J12">
            <v>566.5</v>
          </cell>
        </row>
        <row r="13">
          <cell r="C13" t="str">
            <v>5957</v>
          </cell>
          <cell r="J13">
            <v>280</v>
          </cell>
        </row>
        <row r="14">
          <cell r="C14" t="str">
            <v>6219</v>
          </cell>
          <cell r="J14">
            <v>121.3</v>
          </cell>
        </row>
        <row r="15">
          <cell r="C15" t="str">
            <v>9596</v>
          </cell>
          <cell r="J15">
            <v>32</v>
          </cell>
        </row>
        <row r="16">
          <cell r="C16" t="str">
            <v>6266;3513</v>
          </cell>
          <cell r="J16">
            <v>95.5</v>
          </cell>
        </row>
        <row r="17">
          <cell r="C17" t="str">
            <v>8061</v>
          </cell>
          <cell r="J17">
            <v>154</v>
          </cell>
        </row>
        <row r="18">
          <cell r="C18" t="str">
            <v>0079</v>
          </cell>
          <cell r="J18">
            <v>940.5</v>
          </cell>
        </row>
        <row r="19">
          <cell r="C19" t="str">
            <v>2196</v>
          </cell>
          <cell r="J19">
            <v>1164.8</v>
          </cell>
        </row>
        <row r="20">
          <cell r="C20" t="str">
            <v>0653</v>
          </cell>
          <cell r="J20">
            <v>302</v>
          </cell>
        </row>
        <row r="21">
          <cell r="C21" t="str">
            <v>1371</v>
          </cell>
          <cell r="J21">
            <v>388</v>
          </cell>
        </row>
        <row r="22">
          <cell r="C22" t="str">
            <v>1505</v>
          </cell>
          <cell r="J22">
            <v>676.8</v>
          </cell>
        </row>
        <row r="23">
          <cell r="C23" t="str">
            <v>1791</v>
          </cell>
          <cell r="J23">
            <v>336.8</v>
          </cell>
        </row>
        <row r="24">
          <cell r="C24" t="str">
            <v>1795</v>
          </cell>
          <cell r="J24">
            <v>871</v>
          </cell>
        </row>
        <row r="25">
          <cell r="C25" t="str">
            <v>3326</v>
          </cell>
          <cell r="J25">
            <v>341</v>
          </cell>
        </row>
        <row r="26">
          <cell r="C26" t="str">
            <v>5851</v>
          </cell>
          <cell r="J26">
            <v>351.5</v>
          </cell>
        </row>
        <row r="27">
          <cell r="C27" t="str">
            <v>7512</v>
          </cell>
          <cell r="J27">
            <v>252.6</v>
          </cell>
        </row>
        <row r="28">
          <cell r="C28" t="str">
            <v>3393</v>
          </cell>
          <cell r="J28">
            <v>742.8</v>
          </cell>
        </row>
        <row r="29">
          <cell r="C29" t="str">
            <v>5499</v>
          </cell>
          <cell r="J29">
            <v>92</v>
          </cell>
        </row>
        <row r="30">
          <cell r="C30" t="str">
            <v>0075</v>
          </cell>
          <cell r="J30">
            <v>252.5</v>
          </cell>
        </row>
        <row r="31">
          <cell r="C31" t="str">
            <v>5453</v>
          </cell>
          <cell r="J31">
            <v>329.7</v>
          </cell>
        </row>
        <row r="32">
          <cell r="C32" t="str">
            <v>0493</v>
          </cell>
          <cell r="J32">
            <v>218</v>
          </cell>
        </row>
        <row r="33">
          <cell r="C33" t="str">
            <v>0657</v>
          </cell>
          <cell r="J33">
            <v>219.5</v>
          </cell>
        </row>
        <row r="34">
          <cell r="C34" t="str">
            <v>1005</v>
          </cell>
          <cell r="J34">
            <v>628</v>
          </cell>
        </row>
        <row r="35">
          <cell r="C35" t="str">
            <v>1387</v>
          </cell>
          <cell r="J35">
            <v>787</v>
          </cell>
        </row>
        <row r="36">
          <cell r="C36" t="str">
            <v>2067</v>
          </cell>
          <cell r="J36">
            <v>1094.5</v>
          </cell>
        </row>
        <row r="37">
          <cell r="C37" t="str">
            <v>9679</v>
          </cell>
          <cell r="J37">
            <v>408</v>
          </cell>
        </row>
        <row r="38">
          <cell r="C38" t="str">
            <v>1279</v>
          </cell>
          <cell r="J38">
            <v>879.2</v>
          </cell>
        </row>
        <row r="39">
          <cell r="C39" t="str">
            <v>2905</v>
          </cell>
          <cell r="J39">
            <v>457</v>
          </cell>
        </row>
        <row r="40">
          <cell r="C40" t="str">
            <v>5845</v>
          </cell>
          <cell r="J40">
            <v>36</v>
          </cell>
        </row>
        <row r="41">
          <cell r="C41" t="str">
            <v>9598</v>
          </cell>
          <cell r="J41">
            <v>29</v>
          </cell>
        </row>
        <row r="42">
          <cell r="C42" t="str">
            <v>5313</v>
          </cell>
          <cell r="J42">
            <v>61</v>
          </cell>
        </row>
        <row r="43">
          <cell r="C43" t="str">
            <v>5423</v>
          </cell>
          <cell r="J43">
            <v>121.2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E853-D3EB-4E82-A0FE-1DCA874F8A7F}">
  <sheetPr>
    <pageSetUpPr fitToPage="1"/>
  </sheetPr>
  <dimension ref="A1:Q45"/>
  <sheetViews>
    <sheetView topLeftCell="A22" zoomScale="85" workbookViewId="0">
      <selection activeCell="E9" sqref="E9"/>
    </sheetView>
  </sheetViews>
  <sheetFormatPr defaultRowHeight="12.5" x14ac:dyDescent="0.25"/>
  <cols>
    <col min="1" max="1" width="56.7265625" bestFit="1" customWidth="1"/>
    <col min="2" max="2" width="19.7265625" bestFit="1" customWidth="1"/>
    <col min="3" max="3" width="13.81640625" customWidth="1"/>
    <col min="4" max="4" width="6" customWidth="1"/>
    <col min="5" max="6" width="14.26953125" bestFit="1" customWidth="1"/>
    <col min="7" max="7" width="14.453125" bestFit="1" customWidth="1"/>
    <col min="8" max="10" width="13.1796875" bestFit="1" customWidth="1"/>
    <col min="11" max="11" width="11.54296875" bestFit="1" customWidth="1"/>
    <col min="12" max="14" width="13.1796875" bestFit="1" customWidth="1"/>
    <col min="15" max="15" width="12.26953125" bestFit="1" customWidth="1"/>
    <col min="16" max="16" width="10.54296875" bestFit="1" customWidth="1"/>
    <col min="17" max="17" width="11.54296875" bestFit="1" customWidth="1"/>
  </cols>
  <sheetData>
    <row r="1" spans="1:14" ht="13" x14ac:dyDescent="0.3">
      <c r="A1" s="16" t="s">
        <v>416</v>
      </c>
    </row>
    <row r="2" spans="1:14" x14ac:dyDescent="0.25">
      <c r="A2" t="s">
        <v>417</v>
      </c>
    </row>
    <row r="3" spans="1:14" x14ac:dyDescent="0.25">
      <c r="A3" t="s">
        <v>418</v>
      </c>
    </row>
    <row r="4" spans="1:14" x14ac:dyDescent="0.25">
      <c r="E4" s="20" t="s">
        <v>428</v>
      </c>
      <c r="F4" s="17" t="s">
        <v>429</v>
      </c>
      <c r="G4" s="17" t="s">
        <v>440</v>
      </c>
      <c r="H4" s="18"/>
      <c r="I4" s="18"/>
      <c r="J4" s="18"/>
      <c r="K4" s="18"/>
      <c r="L4" s="18"/>
      <c r="M4" s="18"/>
      <c r="N4" s="18"/>
    </row>
    <row r="5" spans="1:14" ht="27.75" customHeight="1" x14ac:dyDescent="0.35">
      <c r="A5" s="12" t="s">
        <v>0</v>
      </c>
      <c r="B5" s="30" t="s">
        <v>234</v>
      </c>
      <c r="E5" s="19" t="str">
        <f>IFERROR(VLOOKUP(E4,'CSI Counts'!$R$2:$S$47,2,FALSE),"")</f>
        <v>Academy of Charter Schools</v>
      </c>
      <c r="F5" s="19" t="str">
        <f>IFERROR(VLOOKUP(F4,'CSI Counts'!$R$2:$S$47,2,FALSE),"")</f>
        <v>Global Village Academy - North</v>
      </c>
      <c r="G5" s="19" t="str">
        <f>IFERROR(VLOOKUP(G4,'CSI Counts'!$R$2:$S$47,2,FALSE),"")</f>
        <v>The Pinnacle Charter School</v>
      </c>
      <c r="H5" s="19" t="str">
        <f>IFERROR(VLOOKUP(H4,'CSI Counts'!$R$2:$S$47,2,FALSE),"")</f>
        <v/>
      </c>
      <c r="I5" s="19" t="str">
        <f>IFERROR(VLOOKUP(I4,'CSI Counts'!$R$2:$S$47,2,FALSE),"")</f>
        <v/>
      </c>
      <c r="J5" s="19" t="str">
        <f>IFERROR(VLOOKUP(J4,'CSI Counts'!$R$2:$S$47,2,FALSE),"")</f>
        <v/>
      </c>
      <c r="K5" s="19" t="str">
        <f>IFERROR(VLOOKUP(K4,'CSI Counts'!$R$2:$S$47,2,FALSE),"")</f>
        <v/>
      </c>
      <c r="L5" s="19" t="str">
        <f>IFERROR(VLOOKUP(L4,'CSI Counts'!$R$2:$S$47,2,FALSE),"")</f>
        <v/>
      </c>
      <c r="M5" s="19" t="str">
        <f>IFERROR(VLOOKUP(M4,'CSI Counts'!$R$2:$S$47,2,FALSE),"")</f>
        <v/>
      </c>
      <c r="N5" s="19" t="str">
        <f>IFERROR(VLOOKUP(N4,'CSI Counts'!$R$2:$S$47,2,FALSE),"")</f>
        <v/>
      </c>
    </row>
    <row r="6" spans="1:14" ht="17.25" customHeight="1" x14ac:dyDescent="0.25">
      <c r="A6" t="s">
        <v>415</v>
      </c>
      <c r="B6" s="3" t="str">
        <f>VLOOKUP(B5,Inputs,3,3)</f>
        <v>ADAMS 12 FIVE STAR</v>
      </c>
    </row>
    <row r="7" spans="1:14" ht="25" x14ac:dyDescent="0.25">
      <c r="A7" t="s">
        <v>19</v>
      </c>
      <c r="B7" s="3" t="s">
        <v>1</v>
      </c>
      <c r="C7" s="4" t="s">
        <v>412</v>
      </c>
      <c r="D7" s="4"/>
      <c r="E7" s="14" t="s">
        <v>423</v>
      </c>
      <c r="F7" s="15" t="s">
        <v>423</v>
      </c>
      <c r="G7" s="15" t="s">
        <v>423</v>
      </c>
      <c r="H7" s="15" t="s">
        <v>423</v>
      </c>
      <c r="I7" s="15" t="s">
        <v>423</v>
      </c>
      <c r="J7" s="15" t="s">
        <v>423</v>
      </c>
      <c r="K7" s="15" t="s">
        <v>423</v>
      </c>
      <c r="L7" s="15" t="s">
        <v>423</v>
      </c>
      <c r="M7" s="15" t="s">
        <v>423</v>
      </c>
      <c r="N7" s="15" t="s">
        <v>423</v>
      </c>
    </row>
    <row r="9" spans="1:14" x14ac:dyDescent="0.25">
      <c r="A9" t="s">
        <v>3</v>
      </c>
      <c r="B9" s="6">
        <f>VLOOKUP(B5,Inputs,4,3)</f>
        <v>39193.4</v>
      </c>
      <c r="C9" s="6">
        <f>SUM(E9:N9)</f>
        <v>4669.6000000000004</v>
      </c>
      <c r="E9" s="2">
        <f>IFERROR(VLOOKUP(E4,'CSI Counts'!$B$2:$N$51,12,FALSE),"")</f>
        <v>1843.4</v>
      </c>
      <c r="F9" s="2">
        <f>IFERROR(VLOOKUP(F4,'CSI Counts'!$B$2:$N$51,12,FALSE),"")</f>
        <v>838</v>
      </c>
      <c r="G9" s="2">
        <f>IFERROR(VLOOKUP(G4,'CSI Counts'!$B$2:$N$51,12,FALSE),"")</f>
        <v>1988.2</v>
      </c>
      <c r="H9" s="2" t="str">
        <f>IFERROR(VLOOKUP(H4,'CSI Counts'!$B$2:$N$51,12,FALSE),"")</f>
        <v/>
      </c>
      <c r="I9" s="2" t="str">
        <f>IFERROR(VLOOKUP(I4,'CSI Counts'!$B$2:$N$51,12,FALSE),"")</f>
        <v/>
      </c>
      <c r="J9" s="2" t="str">
        <f>IFERROR(VLOOKUP(J4,'CSI Counts'!$B$2:$N$51,12,FALSE),"")</f>
        <v/>
      </c>
      <c r="K9" s="2" t="str">
        <f>IFERROR(VLOOKUP(K4,'CSI Counts'!$B$2:$N$51,12,FALSE),"")</f>
        <v/>
      </c>
      <c r="L9" s="2" t="str">
        <f>IFERROR(VLOOKUP(L4,'CSI Counts'!$B$2:$N$51,12,FALSE),"")</f>
        <v/>
      </c>
      <c r="M9" s="2" t="str">
        <f>IFERROR(VLOOKUP(M4,'CSI Counts'!$B$2:$N$51,12,FALSE),"")</f>
        <v/>
      </c>
      <c r="N9" s="2" t="str">
        <f>IFERROR(VLOOKUP(N4,'CSI Counts'!$B$2:$N$51,12,FALSE),"")</f>
        <v/>
      </c>
    </row>
    <row r="10" spans="1:14" x14ac:dyDescent="0.25">
      <c r="A10" t="s">
        <v>10</v>
      </c>
      <c r="B10" s="7">
        <f>-C9</f>
        <v>-4669.6000000000004</v>
      </c>
      <c r="C10" s="7"/>
    </row>
    <row r="11" spans="1:14" x14ac:dyDescent="0.25">
      <c r="A11" t="s">
        <v>11</v>
      </c>
      <c r="B11" s="7">
        <f>B9+B10</f>
        <v>34523.800000000003</v>
      </c>
      <c r="C11" s="7"/>
    </row>
    <row r="12" spans="1:14" x14ac:dyDescent="0.25">
      <c r="B12" s="7"/>
      <c r="C12" s="7"/>
    </row>
    <row r="13" spans="1:14" x14ac:dyDescent="0.25">
      <c r="A13" s="1" t="s">
        <v>13</v>
      </c>
      <c r="B13" s="8">
        <f>VLOOKUP(B5,Inputs,6,3)</f>
        <v>10538.09869606</v>
      </c>
      <c r="C13" s="8">
        <f>B13</f>
        <v>10538.09869606</v>
      </c>
      <c r="E13" s="8">
        <f>$B$13</f>
        <v>10538.09869606</v>
      </c>
      <c r="F13" s="8">
        <f t="shared" ref="F13:N13" si="0">$B$13</f>
        <v>10538.09869606</v>
      </c>
      <c r="G13" s="8">
        <f t="shared" si="0"/>
        <v>10538.09869606</v>
      </c>
      <c r="H13" s="8">
        <f t="shared" si="0"/>
        <v>10538.09869606</v>
      </c>
      <c r="I13" s="8">
        <f t="shared" si="0"/>
        <v>10538.09869606</v>
      </c>
      <c r="J13" s="8">
        <f t="shared" si="0"/>
        <v>10538.09869606</v>
      </c>
      <c r="K13" s="8">
        <f t="shared" si="0"/>
        <v>10538.09869606</v>
      </c>
      <c r="L13" s="8">
        <f t="shared" si="0"/>
        <v>10538.09869606</v>
      </c>
      <c r="M13" s="8">
        <f t="shared" si="0"/>
        <v>10538.09869606</v>
      </c>
      <c r="N13" s="8">
        <f t="shared" si="0"/>
        <v>10538.09869606</v>
      </c>
    </row>
    <row r="15" spans="1:14" x14ac:dyDescent="0.25">
      <c r="A15" t="s">
        <v>2</v>
      </c>
      <c r="B15" s="6">
        <f>VLOOKUP(B5,Inputs,5,3)</f>
        <v>19501.599999999999</v>
      </c>
      <c r="C15" s="6">
        <f>SUM(E15:N15)</f>
        <v>2460</v>
      </c>
      <c r="E15" s="2">
        <f>IFERROR(VLOOKUP(E4,'CSI Counts'!$B$2:$P$51,14,FALSE),"")</f>
        <v>578</v>
      </c>
      <c r="F15" s="2">
        <f>IFERROR(VLOOKUP(F4,'CSI Counts'!$B$2:$P$51,14,FALSE),"")</f>
        <v>467</v>
      </c>
      <c r="G15" s="2">
        <f>IFERROR(VLOOKUP(G4,'CSI Counts'!$B$2:$P$51,14,FALSE),"")</f>
        <v>1415</v>
      </c>
      <c r="H15" s="2" t="str">
        <f>IFERROR(VLOOKUP(H4,'CSI Counts'!$B$2:$P$51,14,FALSE),"")</f>
        <v/>
      </c>
      <c r="I15" s="2" t="str">
        <f>IFERROR(VLOOKUP(I4,'CSI Counts'!$B$2:$P$51,14,FALSE),"")</f>
        <v/>
      </c>
      <c r="J15" s="2" t="str">
        <f>IFERROR(VLOOKUP(J4,'CSI Counts'!$B$2:$P$51,14,FALSE),"")</f>
        <v/>
      </c>
      <c r="K15" s="2" t="str">
        <f>IFERROR(VLOOKUP(K4,'CSI Counts'!$B$2:$P$51,14,FALSE),"")</f>
        <v/>
      </c>
      <c r="L15" s="2" t="str">
        <f>IFERROR(VLOOKUP(L4,'CSI Counts'!$B$2:$P$51,14,FALSE),"")</f>
        <v/>
      </c>
      <c r="M15" s="2" t="str">
        <f>IFERROR(VLOOKUP(M4,'CSI Counts'!$B$2:$P$51,14,FALSE),"")</f>
        <v/>
      </c>
      <c r="N15" s="2" t="str">
        <f>IFERROR(VLOOKUP(N4,'CSI Counts'!$B$2:$P$51,14,FALSE),"")</f>
        <v/>
      </c>
    </row>
    <row r="16" spans="1:14" x14ac:dyDescent="0.25">
      <c r="A16" s="1"/>
      <c r="B16" s="9"/>
      <c r="C16" s="9"/>
    </row>
    <row r="17" spans="1:14" x14ac:dyDescent="0.25">
      <c r="A17" s="1" t="s">
        <v>7</v>
      </c>
      <c r="B17" s="8">
        <f>VLOOKUP(B5,Inputs,7,3)</f>
        <v>24983074.82</v>
      </c>
      <c r="C17" s="8"/>
    </row>
    <row r="18" spans="1:14" x14ac:dyDescent="0.25">
      <c r="A18" t="s">
        <v>12</v>
      </c>
      <c r="B18">
        <f>ROUND(B17/B9,2)</f>
        <v>637.42999999999995</v>
      </c>
    </row>
    <row r="20" spans="1:14" x14ac:dyDescent="0.25">
      <c r="A20" t="s">
        <v>4</v>
      </c>
      <c r="B20" s="10">
        <f>VLOOKUP(B5,Inputs,8,3)</f>
        <v>37728</v>
      </c>
      <c r="C20" s="6">
        <f>SUM(E20:N20)</f>
        <v>4399</v>
      </c>
      <c r="E20" s="2">
        <f>IFERROR(VLOOKUP(E4,'CSI Counts'!$B$2:$M$51,11,FALSE),"")</f>
        <v>1784</v>
      </c>
      <c r="F20" s="2">
        <f>IFERROR(VLOOKUP(F4,'CSI Counts'!$B$2:$M$51,11,FALSE),"")</f>
        <v>838</v>
      </c>
      <c r="G20" s="2">
        <f>IFERROR(VLOOKUP(G4,'CSI Counts'!$B$2:$M$51,11,FALSE),"")</f>
        <v>1777</v>
      </c>
      <c r="H20" s="2" t="str">
        <f>IFERROR(VLOOKUP(H4,'CSI Counts'!$B$2:$M$51,11,FALSE),"")</f>
        <v/>
      </c>
      <c r="I20" s="2" t="str">
        <f>IFERROR(VLOOKUP(I4,'CSI Counts'!$B$2:$M$51,11,FALSE),"")</f>
        <v/>
      </c>
      <c r="J20" s="2" t="str">
        <f>IFERROR(VLOOKUP(J4,'CSI Counts'!$B$2:$M$51,11,FALSE),"")</f>
        <v/>
      </c>
      <c r="K20" s="2" t="str">
        <f>IFERROR(VLOOKUP(K4,'CSI Counts'!$B$2:$M$51,11,FALSE),"")</f>
        <v/>
      </c>
      <c r="L20" s="2" t="str">
        <f>IFERROR(VLOOKUP(L4,'CSI Counts'!$B$2:$M$51,11,FALSE),"")</f>
        <v/>
      </c>
      <c r="M20" s="2" t="str">
        <f>IFERROR(VLOOKUP(M4,'CSI Counts'!$B$2:$M$51,11,FALSE),"")</f>
        <v/>
      </c>
      <c r="N20" s="2" t="str">
        <f>IFERROR(VLOOKUP(N4,'CSI Counts'!$B$2:$M$51,11,FALSE),"")</f>
        <v/>
      </c>
    </row>
    <row r="21" spans="1:14" ht="25" x14ac:dyDescent="0.25">
      <c r="A21" s="1" t="s">
        <v>20</v>
      </c>
      <c r="B21" s="11">
        <f>ROUND(B15/B20,4)</f>
        <v>0.51690000000000003</v>
      </c>
      <c r="C21" s="11"/>
      <c r="E21" s="11">
        <f>IFERROR(E15/E20,"")</f>
        <v>0.32399103139013452</v>
      </c>
      <c r="F21" s="11">
        <f>IFERROR(F15/F20,"")</f>
        <v>0.55727923627684961</v>
      </c>
      <c r="G21" s="11">
        <f t="shared" ref="G21:N21" si="1">IFERROR(G15/G20,"")</f>
        <v>0.79628587507034332</v>
      </c>
      <c r="H21" s="11" t="str">
        <f t="shared" si="1"/>
        <v/>
      </c>
      <c r="I21" s="11" t="str">
        <f t="shared" si="1"/>
        <v/>
      </c>
      <c r="J21" s="11" t="str">
        <f t="shared" si="1"/>
        <v/>
      </c>
      <c r="K21" s="11" t="str">
        <f t="shared" si="1"/>
        <v/>
      </c>
      <c r="L21" s="11" t="str">
        <f t="shared" si="1"/>
        <v/>
      </c>
      <c r="M21" s="11" t="str">
        <f t="shared" si="1"/>
        <v/>
      </c>
      <c r="N21" s="11" t="str">
        <f t="shared" si="1"/>
        <v/>
      </c>
    </row>
    <row r="22" spans="1:14" x14ac:dyDescent="0.25">
      <c r="A22" t="s">
        <v>18</v>
      </c>
      <c r="B22" s="8">
        <f>B37-B13</f>
        <v>715.8266212827657</v>
      </c>
      <c r="C22" s="8"/>
      <c r="E22" s="8">
        <f>IFERROR(IF(E9=0,0,ROUND(IF(E9=0,"",($B$17/$B$9)*(E21/$B$21)),2)),"")</f>
        <v>399.54</v>
      </c>
      <c r="F22" s="8">
        <f>IFERROR(IF(F9=0,0,ROUND(IF(F9=0,"",($B$17/$B$9)*(F21/$B$21)),2)),"")</f>
        <v>687.23</v>
      </c>
      <c r="G22" s="8">
        <f t="shared" ref="G22:N22" si="2">IFERROR(IF(G9=0,0,ROUND(IF(G9=0,"",($B$17/$B$9)*(G21/$B$21)),2)),"")</f>
        <v>981.96</v>
      </c>
      <c r="H22" s="8" t="str">
        <f t="shared" si="2"/>
        <v/>
      </c>
      <c r="I22" s="8" t="str">
        <f t="shared" si="2"/>
        <v/>
      </c>
      <c r="J22" s="8" t="str">
        <f t="shared" si="2"/>
        <v/>
      </c>
      <c r="K22" s="8" t="str">
        <f t="shared" si="2"/>
        <v/>
      </c>
      <c r="L22" s="8" t="str">
        <f t="shared" si="2"/>
        <v/>
      </c>
      <c r="M22" s="8" t="str">
        <f t="shared" si="2"/>
        <v/>
      </c>
      <c r="N22" s="8" t="str">
        <f t="shared" si="2"/>
        <v/>
      </c>
    </row>
    <row r="23" spans="1:14" x14ac:dyDescent="0.25">
      <c r="B23" s="8"/>
      <c r="C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t="s">
        <v>479</v>
      </c>
      <c r="B24" s="8">
        <f>VLOOKUP(B5,Inputs!A4:N181,14,FALSE)</f>
        <v>4465</v>
      </c>
      <c r="C24" s="8"/>
      <c r="E24" s="2">
        <f>IFERROR(VLOOKUP(E4,'CSI Counts'!$B$2:$O$51,13,FALSE),"")</f>
        <v>76</v>
      </c>
      <c r="F24" s="2">
        <f>IFERROR(VLOOKUP(F4,'CSI Counts'!$B$2:$O$51,13,FALSE),"")</f>
        <v>135</v>
      </c>
      <c r="G24" s="2">
        <f>IFERROR(VLOOKUP(G4,'CSI Counts'!$B$2:$O$51,13,FALSE),"")</f>
        <v>476</v>
      </c>
      <c r="H24" s="2" t="str">
        <f>IFERROR(VLOOKUP(H4,'CSI Counts'!$B$2:$O$51,13,FALSE),"")</f>
        <v/>
      </c>
      <c r="I24" s="2" t="str">
        <f>IFERROR(VLOOKUP(I4,'CSI Counts'!$B$2:$O$51,13,FALSE),"")</f>
        <v/>
      </c>
      <c r="J24" s="2" t="str">
        <f>IFERROR(VLOOKUP(J4,'CSI Counts'!$B$2:$O$51,13,FALSE),"")</f>
        <v/>
      </c>
      <c r="K24" s="2" t="str">
        <f>IFERROR(VLOOKUP(K4,'CSI Counts'!$B$2:$O$51,13,FALSE),"")</f>
        <v/>
      </c>
      <c r="L24" s="2" t="str">
        <f>IFERROR(VLOOKUP(L4,'CSI Counts'!$B$2:$O$51,13,FALSE),"")</f>
        <v/>
      </c>
      <c r="M24" s="2" t="str">
        <f>IFERROR(VLOOKUP(M4,'CSI Counts'!$B$2:$O$51,13,FALSE),"")</f>
        <v/>
      </c>
      <c r="N24" s="2" t="str">
        <f>IFERROR(VLOOKUP(N4,'CSI Counts'!$B$2:$O$51,13,FALSE),"")</f>
        <v/>
      </c>
    </row>
    <row r="25" spans="1:14" x14ac:dyDescent="0.25">
      <c r="A25" t="s">
        <v>480</v>
      </c>
      <c r="B25" s="32">
        <f>B24/B11</f>
        <v>0.12933107016029521</v>
      </c>
      <c r="C25" s="8"/>
      <c r="E25" s="11">
        <f>IFERROR(E24/E20,0)</f>
        <v>4.2600896860986545E-2</v>
      </c>
      <c r="F25" s="11">
        <f t="shared" ref="F25:N25" si="3">IFERROR(F24/F20,0)</f>
        <v>0.1610978520286396</v>
      </c>
      <c r="G25" s="11">
        <f t="shared" si="3"/>
        <v>0.26786719189645469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</row>
    <row r="26" spans="1:14" x14ac:dyDescent="0.25">
      <c r="A26" s="26" t="s">
        <v>482</v>
      </c>
      <c r="B26" s="8">
        <f>VLOOKUP(B5,Inputs!A4:O183,15,FALSE)</f>
        <v>3764208.85</v>
      </c>
      <c r="C26" s="8"/>
      <c r="E26" s="8">
        <f>IFERROR(IF(E13=0,0,ROUND(IF(E13=0,"",($B$26/$B$9)*(E25/$B$25)),2)),"")</f>
        <v>31.64</v>
      </c>
      <c r="F26" s="8">
        <f t="shared" ref="F26:N26" si="4">IFERROR(IF(F13=0,0,ROUND(IF(F13=0,"",($B$26/$B$9)*(F25/$B$25)),2)),"")</f>
        <v>119.63</v>
      </c>
      <c r="G26" s="8">
        <f t="shared" si="4"/>
        <v>198.92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8">
        <f t="shared" si="4"/>
        <v>0</v>
      </c>
      <c r="M26" s="8">
        <f t="shared" si="4"/>
        <v>0</v>
      </c>
      <c r="N26" s="8">
        <f t="shared" si="4"/>
        <v>0</v>
      </c>
    </row>
    <row r="27" spans="1:14" x14ac:dyDescent="0.25">
      <c r="E27" s="8"/>
      <c r="F27" s="8"/>
    </row>
    <row r="28" spans="1:14" x14ac:dyDescent="0.25">
      <c r="A28" t="s">
        <v>9</v>
      </c>
      <c r="B28" s="8">
        <f>VLOOKUP(B5,Inputs!A3:M180,9,FALSE)</f>
        <v>441555784.05000001</v>
      </c>
      <c r="C28" s="8"/>
      <c r="E28" s="8"/>
      <c r="F28" s="8"/>
    </row>
    <row r="29" spans="1:14" x14ac:dyDescent="0.25">
      <c r="A29" t="s">
        <v>424</v>
      </c>
      <c r="B29" s="8">
        <f>VLOOKUP(B5,Inputs!A4:M181,10,FALSE)</f>
        <v>0</v>
      </c>
      <c r="C29" s="8">
        <f>ROUND(B29/B9,2)</f>
        <v>0</v>
      </c>
      <c r="E29" s="8"/>
      <c r="F29" s="8"/>
    </row>
    <row r="30" spans="1:14" x14ac:dyDescent="0.25">
      <c r="A30" t="s">
        <v>419</v>
      </c>
      <c r="B30" s="8">
        <f>VLOOKUP(B5,Inputs!A4:M181,12,FALSE)</f>
        <v>441555784.05000001</v>
      </c>
      <c r="C30" s="8"/>
      <c r="E30" s="8"/>
      <c r="F30" s="8"/>
    </row>
    <row r="31" spans="1:14" x14ac:dyDescent="0.25">
      <c r="C31" s="13" t="s">
        <v>421</v>
      </c>
      <c r="E31" s="8"/>
      <c r="F31" s="8"/>
    </row>
    <row r="32" spans="1:14" x14ac:dyDescent="0.25">
      <c r="A32" t="s">
        <v>6</v>
      </c>
      <c r="B32" s="8">
        <f>B30/B9</f>
        <v>11266.075003699603</v>
      </c>
      <c r="C32" s="8"/>
      <c r="E32" s="8"/>
      <c r="F32" s="8"/>
    </row>
    <row r="33" spans="1:17" x14ac:dyDescent="0.25">
      <c r="B33" s="8"/>
      <c r="C33" s="8"/>
      <c r="E33" s="8"/>
      <c r="F33" s="8"/>
    </row>
    <row r="34" spans="1:17" x14ac:dyDescent="0.25">
      <c r="A34" s="26" t="s">
        <v>483</v>
      </c>
      <c r="B34" s="8">
        <f>VLOOKUP(B5,Inputs!A4:M181,13,FALSE)</f>
        <v>10791.3</v>
      </c>
      <c r="C34" s="8"/>
      <c r="E34" s="8"/>
      <c r="F34" s="8"/>
    </row>
    <row r="35" spans="1:17" x14ac:dyDescent="0.25">
      <c r="A35" t="s">
        <v>16</v>
      </c>
      <c r="B35" s="8"/>
      <c r="C35" s="6"/>
      <c r="E35" s="8">
        <f>IFERROR(IF(E9=0,0,E$13+E$22+E$26+$C$29),"")</f>
        <v>10969.278696060001</v>
      </c>
      <c r="F35" s="8">
        <f t="shared" ref="F35:N35" si="5">IFERROR(IF(F9=0,0,F$13+F$22+F$26+$C$29),"")</f>
        <v>11344.958696059999</v>
      </c>
      <c r="G35" s="8">
        <f t="shared" si="5"/>
        <v>11718.978696060001</v>
      </c>
      <c r="H35" s="8" t="str">
        <f t="shared" si="5"/>
        <v/>
      </c>
      <c r="I35" s="8" t="str">
        <f t="shared" si="5"/>
        <v/>
      </c>
      <c r="J35" s="8" t="str">
        <f t="shared" si="5"/>
        <v/>
      </c>
      <c r="K35" s="8" t="str">
        <f t="shared" si="5"/>
        <v/>
      </c>
      <c r="L35" s="8" t="str">
        <f t="shared" si="5"/>
        <v/>
      </c>
      <c r="M35" s="8" t="str">
        <f t="shared" si="5"/>
        <v/>
      </c>
      <c r="N35" s="8" t="str">
        <f t="shared" si="5"/>
        <v/>
      </c>
    </row>
    <row r="36" spans="1:17" x14ac:dyDescent="0.25">
      <c r="A36" s="1" t="s">
        <v>422</v>
      </c>
      <c r="B36" s="8"/>
      <c r="C36" s="6"/>
      <c r="E36" s="8">
        <f>IF($B$34&gt;E35,$B$34,E35)</f>
        <v>10969.278696060001</v>
      </c>
      <c r="F36" s="8">
        <f t="shared" ref="F36:N36" si="6">IF($B$34&gt;F35,$B$34,F35)</f>
        <v>11344.958696059999</v>
      </c>
      <c r="G36" s="8">
        <f t="shared" si="6"/>
        <v>11718.978696060001</v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 t="shared" si="6"/>
        <v/>
      </c>
    </row>
    <row r="37" spans="1:17" x14ac:dyDescent="0.25">
      <c r="A37" t="s">
        <v>5</v>
      </c>
      <c r="B37" s="8">
        <f>(B30-C39)/B11</f>
        <v>11253.925317342766</v>
      </c>
      <c r="C37" s="8"/>
      <c r="E37" s="8"/>
      <c r="F37" s="8"/>
    </row>
    <row r="38" spans="1:17" x14ac:dyDescent="0.25">
      <c r="E38" s="8"/>
      <c r="F38" s="8"/>
    </row>
    <row r="39" spans="1:17" x14ac:dyDescent="0.25">
      <c r="A39" t="s">
        <v>14</v>
      </c>
      <c r="C39" s="5">
        <f>SUM(E39:N39)</f>
        <v>53027517.179121777</v>
      </c>
      <c r="E39" s="8">
        <f t="shared" ref="E39:N39" si="7">IFERROR(E36*E9,"")</f>
        <v>20220768.348317005</v>
      </c>
      <c r="F39" s="8">
        <f t="shared" si="7"/>
        <v>9507075.3872982785</v>
      </c>
      <c r="G39" s="8">
        <f t="shared" si="7"/>
        <v>23299673.443506494</v>
      </c>
      <c r="H39" s="8" t="str">
        <f t="shared" si="7"/>
        <v/>
      </c>
      <c r="I39" s="8" t="str">
        <f t="shared" si="7"/>
        <v/>
      </c>
      <c r="J39" s="8" t="str">
        <f t="shared" si="7"/>
        <v/>
      </c>
      <c r="K39" s="8" t="str">
        <f t="shared" si="7"/>
        <v/>
      </c>
      <c r="L39" s="8" t="str">
        <f t="shared" si="7"/>
        <v/>
      </c>
      <c r="M39" s="8" t="str">
        <f t="shared" si="7"/>
        <v/>
      </c>
      <c r="N39" s="8" t="str">
        <f t="shared" si="7"/>
        <v/>
      </c>
    </row>
    <row r="40" spans="1:17" x14ac:dyDescent="0.25">
      <c r="A40" t="s">
        <v>15</v>
      </c>
      <c r="C40" s="5">
        <f>SUM(E40:N40)</f>
        <v>52608063.837275669</v>
      </c>
      <c r="E40" s="8">
        <f t="shared" ref="E40:N40" si="8">IFERROR($B$32*E9,"")</f>
        <v>20767882.661819849</v>
      </c>
      <c r="F40" s="8">
        <f t="shared" si="8"/>
        <v>9440970.8531002682</v>
      </c>
      <c r="G40" s="8">
        <f t="shared" si="8"/>
        <v>22399210.322355554</v>
      </c>
      <c r="H40" s="8" t="str">
        <f t="shared" si="8"/>
        <v/>
      </c>
      <c r="I40" s="8" t="str">
        <f t="shared" si="8"/>
        <v/>
      </c>
      <c r="J40" s="8" t="str">
        <f t="shared" si="8"/>
        <v/>
      </c>
      <c r="K40" s="8" t="str">
        <f t="shared" si="8"/>
        <v/>
      </c>
      <c r="L40" s="8" t="str">
        <f t="shared" si="8"/>
        <v/>
      </c>
      <c r="M40" s="8" t="str">
        <f t="shared" si="8"/>
        <v/>
      </c>
      <c r="N40" s="8" t="str">
        <f t="shared" si="8"/>
        <v/>
      </c>
    </row>
    <row r="41" spans="1:17" x14ac:dyDescent="0.25">
      <c r="A41" t="s">
        <v>17</v>
      </c>
      <c r="B41" s="8"/>
      <c r="C41" s="5">
        <f>SUM(E41:N41)</f>
        <v>419453.34184610657</v>
      </c>
      <c r="E41" s="8">
        <f>IFERROR(E39-E40,"")</f>
        <v>-547114.31350284442</v>
      </c>
      <c r="F41" s="8">
        <f>IFERROR(F39-F40,"")</f>
        <v>66104.53419801034</v>
      </c>
      <c r="G41" s="8">
        <f t="shared" ref="G41:N41" si="9">IFERROR(G39-G40,"")</f>
        <v>900463.12115094066</v>
      </c>
      <c r="H41" s="8" t="str">
        <f t="shared" si="9"/>
        <v/>
      </c>
      <c r="I41" s="8" t="str">
        <f t="shared" si="9"/>
        <v/>
      </c>
      <c r="J41" s="8" t="str">
        <f t="shared" si="9"/>
        <v/>
      </c>
      <c r="K41" s="8" t="str">
        <f t="shared" si="9"/>
        <v/>
      </c>
      <c r="L41" s="8" t="str">
        <f t="shared" si="9"/>
        <v/>
      </c>
      <c r="M41" s="8" t="str">
        <f t="shared" si="9"/>
        <v/>
      </c>
      <c r="N41" s="8" t="str">
        <f t="shared" si="9"/>
        <v/>
      </c>
      <c r="O41" s="8">
        <f>SUM(E41:N41)</f>
        <v>419453.34184610657</v>
      </c>
      <c r="P41">
        <v>12757.99</v>
      </c>
      <c r="Q41" s="8">
        <f>O41+P41</f>
        <v>432211.33184610656</v>
      </c>
    </row>
    <row r="42" spans="1:17" x14ac:dyDescent="0.25">
      <c r="A42" t="s">
        <v>8</v>
      </c>
      <c r="B42" s="8">
        <f>B28-C39+B29</f>
        <v>388528266.87087822</v>
      </c>
      <c r="C42" s="5">
        <f>SUM(E42:N42)</f>
        <v>53027517.179121777</v>
      </c>
      <c r="E42" s="8">
        <f t="shared" ref="E42:N42" si="10">IFERROR(E36*E9,"")</f>
        <v>20220768.348317005</v>
      </c>
      <c r="F42" s="8">
        <f t="shared" si="10"/>
        <v>9507075.3872982785</v>
      </c>
      <c r="G42" s="8">
        <f t="shared" si="10"/>
        <v>23299673.443506494</v>
      </c>
      <c r="H42" s="8" t="str">
        <f t="shared" si="10"/>
        <v/>
      </c>
      <c r="I42" s="8" t="str">
        <f t="shared" si="10"/>
        <v/>
      </c>
      <c r="J42" s="8" t="str">
        <f t="shared" si="10"/>
        <v/>
      </c>
      <c r="K42" s="8" t="str">
        <f t="shared" si="10"/>
        <v/>
      </c>
      <c r="L42" s="8" t="str">
        <f t="shared" si="10"/>
        <v/>
      </c>
      <c r="M42" s="8" t="str">
        <f t="shared" si="10"/>
        <v/>
      </c>
      <c r="N42" s="8" t="str">
        <f t="shared" si="10"/>
        <v/>
      </c>
      <c r="O42" s="8">
        <f>O41/5</f>
        <v>83890.668369221312</v>
      </c>
      <c r="P42" s="8">
        <f>P41/5</f>
        <v>2551.598</v>
      </c>
      <c r="Q42" s="8">
        <f>O42+P42</f>
        <v>86442.26636922131</v>
      </c>
    </row>
    <row r="44" spans="1:17" x14ac:dyDescent="0.25">
      <c r="C44" s="5"/>
      <c r="E44" s="8">
        <f>IFERROR(ROUND(E41/6,2),"")</f>
        <v>-91185.72</v>
      </c>
      <c r="F44" s="8">
        <f t="shared" ref="F44:N44" si="11">IFERROR(ROUND(F41/6,2),"")</f>
        <v>11017.42</v>
      </c>
      <c r="G44" s="8">
        <f t="shared" si="11"/>
        <v>150077.19</v>
      </c>
      <c r="H44" s="8" t="str">
        <f t="shared" si="11"/>
        <v/>
      </c>
      <c r="I44" s="8" t="str">
        <f t="shared" si="11"/>
        <v/>
      </c>
      <c r="J44" s="8" t="str">
        <f t="shared" si="11"/>
        <v/>
      </c>
      <c r="K44" s="8" t="str">
        <f t="shared" si="11"/>
        <v/>
      </c>
      <c r="L44" s="8" t="str">
        <f t="shared" si="11"/>
        <v/>
      </c>
      <c r="M44" s="8" t="str">
        <f t="shared" si="11"/>
        <v/>
      </c>
      <c r="N44" s="8" t="str">
        <f t="shared" si="11"/>
        <v/>
      </c>
      <c r="O44" s="8">
        <f>O42*5</f>
        <v>419453.34184610657</v>
      </c>
      <c r="P44" s="8">
        <f>P42*5</f>
        <v>12757.99</v>
      </c>
      <c r="Q44" s="8">
        <f>Q42*5</f>
        <v>432211.33184610656</v>
      </c>
    </row>
    <row r="45" spans="1:17" x14ac:dyDescent="0.25">
      <c r="O45" s="8"/>
    </row>
  </sheetData>
  <pageMargins left="0.5" right="0.5" top="0.75" bottom="0.75" header="0.25" footer="0.25"/>
  <pageSetup scale="5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6A551-7295-495E-8098-229A0194F8A8}">
  <sheetPr>
    <pageSetUpPr fitToPage="1"/>
  </sheetPr>
  <dimension ref="A1:Q45"/>
  <sheetViews>
    <sheetView zoomScale="85" workbookViewId="0">
      <selection activeCell="E16" sqref="E16"/>
    </sheetView>
  </sheetViews>
  <sheetFormatPr defaultRowHeight="12.5" x14ac:dyDescent="0.25"/>
  <cols>
    <col min="1" max="1" width="56.7265625" bestFit="1" customWidth="1"/>
    <col min="2" max="2" width="18.26953125" customWidth="1"/>
    <col min="3" max="3" width="13.81640625" customWidth="1"/>
    <col min="4" max="4" width="6" customWidth="1"/>
    <col min="5" max="6" width="14.26953125" bestFit="1" customWidth="1"/>
    <col min="7" max="7" width="14.453125" bestFit="1" customWidth="1"/>
    <col min="8" max="10" width="13.1796875" bestFit="1" customWidth="1"/>
    <col min="11" max="11" width="11.54296875" bestFit="1" customWidth="1"/>
    <col min="12" max="14" width="13.1796875" bestFit="1" customWidth="1"/>
    <col min="15" max="15" width="12.26953125" bestFit="1" customWidth="1"/>
    <col min="16" max="16" width="10.54296875" bestFit="1" customWidth="1"/>
    <col min="17" max="17" width="11.54296875" bestFit="1" customWidth="1"/>
  </cols>
  <sheetData>
    <row r="1" spans="1:14" ht="13" x14ac:dyDescent="0.3">
      <c r="A1" s="16" t="s">
        <v>416</v>
      </c>
    </row>
    <row r="2" spans="1:14" x14ac:dyDescent="0.25">
      <c r="A2" t="s">
        <v>417</v>
      </c>
    </row>
    <row r="3" spans="1:14" x14ac:dyDescent="0.25">
      <c r="A3" t="s">
        <v>418</v>
      </c>
    </row>
    <row r="4" spans="1:14" x14ac:dyDescent="0.25">
      <c r="E4" s="20" t="s">
        <v>467</v>
      </c>
      <c r="F4" s="17"/>
      <c r="G4" s="17"/>
      <c r="H4" s="18"/>
      <c r="I4" s="18"/>
      <c r="J4" s="18"/>
      <c r="K4" s="18"/>
      <c r="L4" s="18"/>
      <c r="M4" s="18"/>
      <c r="N4" s="18"/>
    </row>
    <row r="5" spans="1:14" ht="27.75" customHeight="1" x14ac:dyDescent="0.35">
      <c r="A5" s="12" t="s">
        <v>0</v>
      </c>
      <c r="B5" s="30" t="s">
        <v>235</v>
      </c>
      <c r="E5" s="19" t="str">
        <f>IFERROR(VLOOKUP(E4,'CSI Counts'!R2:S47,2,FALSE),"")</f>
        <v>Community Leadership Academy</v>
      </c>
      <c r="F5" s="19" t="str">
        <f>IFERROR(VLOOKUP(F4,'CSI Counts'!S2:T47,2,FALSE),"")</f>
        <v/>
      </c>
      <c r="G5" s="19" t="str">
        <f>IFERROR(VLOOKUP(G4,'CSI Counts'!T2:U47,2,FALSE),"")</f>
        <v/>
      </c>
      <c r="H5" s="19" t="str">
        <f>IFERROR(VLOOKUP(H4,'CSI Counts'!U2:V47,2,FALSE),"")</f>
        <v/>
      </c>
      <c r="I5" s="19" t="str">
        <f>IFERROR(VLOOKUP(I4,'CSI Counts'!V2:W47,2,FALSE),"")</f>
        <v/>
      </c>
      <c r="J5" s="19" t="str">
        <f>IFERROR(VLOOKUP(J4,'CSI Counts'!W2:X47,2,FALSE),"")</f>
        <v/>
      </c>
      <c r="K5" s="19" t="str">
        <f>IFERROR(VLOOKUP(K4,'CSI Counts'!X2:Y47,2,FALSE),"")</f>
        <v/>
      </c>
      <c r="L5" s="19" t="str">
        <f>IFERROR(VLOOKUP(L4,'CSI Counts'!Y2:Z47,2,FALSE),"")</f>
        <v/>
      </c>
      <c r="M5" s="19" t="str">
        <f>IFERROR(VLOOKUP(M4,'CSI Counts'!Z2:AA47,2,FALSE),"")</f>
        <v/>
      </c>
      <c r="N5" s="19" t="str">
        <f>IFERROR(VLOOKUP(N4,'CSI Counts'!AA2:AB47,2,FALSE),"")</f>
        <v/>
      </c>
    </row>
    <row r="6" spans="1:14" ht="17.25" customHeight="1" x14ac:dyDescent="0.25">
      <c r="A6" t="s">
        <v>415</v>
      </c>
      <c r="B6" s="3" t="str">
        <f>VLOOKUP(B5,Inputs,3,3)</f>
        <v>COMMERCE CITY</v>
      </c>
    </row>
    <row r="7" spans="1:14" ht="25" x14ac:dyDescent="0.25">
      <c r="A7" t="s">
        <v>19</v>
      </c>
      <c r="B7" s="3" t="s">
        <v>1</v>
      </c>
      <c r="C7" s="4" t="s">
        <v>412</v>
      </c>
      <c r="D7" s="4"/>
      <c r="E7" s="14" t="s">
        <v>423</v>
      </c>
      <c r="F7" s="15" t="s">
        <v>423</v>
      </c>
      <c r="G7" s="15" t="s">
        <v>423</v>
      </c>
      <c r="H7" s="15" t="s">
        <v>423</v>
      </c>
      <c r="I7" s="15" t="s">
        <v>423</v>
      </c>
      <c r="J7" s="15" t="s">
        <v>423</v>
      </c>
      <c r="K7" s="15" t="s">
        <v>423</v>
      </c>
      <c r="L7" s="15" t="s">
        <v>423</v>
      </c>
      <c r="M7" s="15" t="s">
        <v>423</v>
      </c>
      <c r="N7" s="15" t="s">
        <v>423</v>
      </c>
    </row>
    <row r="9" spans="1:14" x14ac:dyDescent="0.25">
      <c r="A9" t="s">
        <v>3</v>
      </c>
      <c r="B9" s="6">
        <f>VLOOKUP(B5,Inputs,4,3)</f>
        <v>5828.8</v>
      </c>
      <c r="C9" s="6">
        <f>SUM(E9:N9)</f>
        <v>587.70000000000005</v>
      </c>
      <c r="E9" s="2">
        <f>IFERROR(VLOOKUP(E4,'CSI Counts'!$B$2:$N$51,12,FALSE),"")</f>
        <v>587.70000000000005</v>
      </c>
      <c r="F9" s="2" t="str">
        <f>IFERROR(VLOOKUP(F4,'CSI Counts'!$B$2:$N$51,12,FALSE),"")</f>
        <v/>
      </c>
      <c r="G9" s="2" t="str">
        <f>IFERROR(VLOOKUP(G4,'CSI Counts'!$B$2:$N$51,12,FALSE),"")</f>
        <v/>
      </c>
      <c r="H9" s="2" t="str">
        <f>IFERROR(VLOOKUP(H4,'CSI Counts'!$B$2:$N$51,12,FALSE),"")</f>
        <v/>
      </c>
      <c r="I9" s="2" t="str">
        <f>IFERROR(VLOOKUP(I4,'CSI Counts'!$B$2:$N$51,12,FALSE),"")</f>
        <v/>
      </c>
      <c r="J9" s="2" t="str">
        <f>IFERROR(VLOOKUP(J4,'CSI Counts'!$B$2:$N$51,12,FALSE),"")</f>
        <v/>
      </c>
      <c r="K9" s="2" t="str">
        <f>IFERROR(VLOOKUP(K4,'CSI Counts'!$B$2:$N$51,12,FALSE),"")</f>
        <v/>
      </c>
      <c r="L9" s="2" t="str">
        <f>IFERROR(VLOOKUP(L4,'CSI Counts'!$B$2:$N$51,12,FALSE),"")</f>
        <v/>
      </c>
      <c r="M9" s="2" t="str">
        <f>IFERROR(VLOOKUP(M4,'CSI Counts'!$B$2:$N$51,12,FALSE),"")</f>
        <v/>
      </c>
      <c r="N9" s="2" t="str">
        <f>IFERROR(VLOOKUP(N4,'CSI Counts'!$B$2:$N$51,12,FALSE),"")</f>
        <v/>
      </c>
    </row>
    <row r="10" spans="1:14" x14ac:dyDescent="0.25">
      <c r="A10" t="s">
        <v>10</v>
      </c>
      <c r="B10" s="7">
        <f>-C9</f>
        <v>-587.70000000000005</v>
      </c>
      <c r="C10" s="7"/>
    </row>
    <row r="11" spans="1:14" x14ac:dyDescent="0.25">
      <c r="A11" t="s">
        <v>11</v>
      </c>
      <c r="B11" s="7">
        <f>B9+B10</f>
        <v>5241.1000000000004</v>
      </c>
      <c r="C11" s="7"/>
    </row>
    <row r="12" spans="1:14" x14ac:dyDescent="0.25">
      <c r="B12" s="7"/>
      <c r="C12" s="7"/>
    </row>
    <row r="13" spans="1:14" x14ac:dyDescent="0.25">
      <c r="A13" s="1" t="s">
        <v>13</v>
      </c>
      <c r="B13" s="8">
        <f>VLOOKUP(B5,Inputs,6,3)</f>
        <v>10405.297463090001</v>
      </c>
      <c r="C13" s="8">
        <f>B13</f>
        <v>10405.297463090001</v>
      </c>
      <c r="E13" s="8">
        <f>$B$13</f>
        <v>10405.297463090001</v>
      </c>
      <c r="F13" s="8">
        <f t="shared" ref="F13:N13" si="0">$B$13</f>
        <v>10405.297463090001</v>
      </c>
      <c r="G13" s="8">
        <f t="shared" si="0"/>
        <v>10405.297463090001</v>
      </c>
      <c r="H13" s="8">
        <f t="shared" si="0"/>
        <v>10405.297463090001</v>
      </c>
      <c r="I13" s="8">
        <f t="shared" si="0"/>
        <v>10405.297463090001</v>
      </c>
      <c r="J13" s="8">
        <f t="shared" si="0"/>
        <v>10405.297463090001</v>
      </c>
      <c r="K13" s="8">
        <f t="shared" si="0"/>
        <v>10405.297463090001</v>
      </c>
      <c r="L13" s="8">
        <f t="shared" si="0"/>
        <v>10405.297463090001</v>
      </c>
      <c r="M13" s="8">
        <f t="shared" si="0"/>
        <v>10405.297463090001</v>
      </c>
      <c r="N13" s="8">
        <f t="shared" si="0"/>
        <v>10405.297463090001</v>
      </c>
    </row>
    <row r="15" spans="1:14" x14ac:dyDescent="0.25">
      <c r="A15" t="s">
        <v>2</v>
      </c>
      <c r="B15" s="6">
        <f>VLOOKUP(B5,Inputs,5,3)</f>
        <v>4799.1000000000004</v>
      </c>
      <c r="C15" s="6">
        <f>SUM(E15:N15)</f>
        <v>457</v>
      </c>
      <c r="E15" s="2">
        <f>IFERROR(VLOOKUP(E4,'CSI Counts'!$B$2:$P$51,14,FALSE),"")</f>
        <v>457</v>
      </c>
      <c r="F15" s="2" t="str">
        <f>IFERROR(VLOOKUP(F4,'CSI Counts'!$B$2:$P$51,14,FALSE),"")</f>
        <v/>
      </c>
      <c r="G15" s="2" t="str">
        <f>IFERROR(VLOOKUP(G4,'CSI Counts'!$B$2:$P$51,14,FALSE),"")</f>
        <v/>
      </c>
      <c r="H15" s="2" t="str">
        <f>IFERROR(VLOOKUP(H4,'CSI Counts'!$B$2:$P$51,14,FALSE),"")</f>
        <v/>
      </c>
      <c r="I15" s="2" t="str">
        <f>IFERROR(VLOOKUP(I4,'CSI Counts'!$B$2:$P$51,14,FALSE),"")</f>
        <v/>
      </c>
      <c r="J15" s="2" t="str">
        <f>IFERROR(VLOOKUP(J4,'CSI Counts'!$B$2:$P$51,14,FALSE),"")</f>
        <v/>
      </c>
      <c r="K15" s="2" t="str">
        <f>IFERROR(VLOOKUP(K4,'CSI Counts'!$B$2:$P$51,14,FALSE),"")</f>
        <v/>
      </c>
      <c r="L15" s="2" t="str">
        <f>IFERROR(VLOOKUP(L4,'CSI Counts'!$B$2:$P$51,14,FALSE),"")</f>
        <v/>
      </c>
      <c r="M15" s="2" t="str">
        <f>IFERROR(VLOOKUP(M4,'CSI Counts'!$B$2:$P$51,14,FALSE),"")</f>
        <v/>
      </c>
      <c r="N15" s="2" t="str">
        <f>IFERROR(VLOOKUP(N4,'CSI Counts'!$B$2:$P$51,14,FALSE),"")</f>
        <v/>
      </c>
    </row>
    <row r="16" spans="1:14" x14ac:dyDescent="0.25">
      <c r="A16" s="1"/>
      <c r="B16" s="9"/>
      <c r="C16" s="9"/>
    </row>
    <row r="17" spans="1:14" x14ac:dyDescent="0.25">
      <c r="A17" s="1" t="s">
        <v>7</v>
      </c>
      <c r="B17" s="8">
        <f>VLOOKUP(B5,Inputs,7,3)</f>
        <v>8970926.1699999999</v>
      </c>
      <c r="C17" s="8"/>
    </row>
    <row r="18" spans="1:14" x14ac:dyDescent="0.25">
      <c r="A18" t="s">
        <v>12</v>
      </c>
      <c r="B18">
        <f>ROUND(B17/B9,2)</f>
        <v>1539.07</v>
      </c>
    </row>
    <row r="20" spans="1:14" x14ac:dyDescent="0.25">
      <c r="A20" t="s">
        <v>4</v>
      </c>
      <c r="B20" s="10">
        <f>VLOOKUP(B5,Inputs,8,3)</f>
        <v>5427</v>
      </c>
      <c r="C20" s="6">
        <f>SUM(E20:N20)</f>
        <v>537</v>
      </c>
      <c r="E20" s="2">
        <f>IFERROR(VLOOKUP(E4,'CSI Counts'!$B$2:$M$51,11,FALSE),"")</f>
        <v>537</v>
      </c>
      <c r="F20" s="2" t="str">
        <f>IFERROR(VLOOKUP(F4,'CSI Counts'!$B$2:$M$51,11,FALSE),"")</f>
        <v/>
      </c>
      <c r="G20" s="2" t="str">
        <f>IFERROR(VLOOKUP(G4,'CSI Counts'!$B$2:$M$51,11,FALSE),"")</f>
        <v/>
      </c>
      <c r="H20" s="2" t="str">
        <f>IFERROR(VLOOKUP(H4,'CSI Counts'!$B$2:$M$51,11,FALSE),"")</f>
        <v/>
      </c>
      <c r="I20" s="2" t="str">
        <f>IFERROR(VLOOKUP(I4,'CSI Counts'!$B$2:$M$51,11,FALSE),"")</f>
        <v/>
      </c>
      <c r="J20" s="2" t="str">
        <f>IFERROR(VLOOKUP(J4,'CSI Counts'!$B$2:$M$51,11,FALSE),"")</f>
        <v/>
      </c>
      <c r="K20" s="2" t="str">
        <f>IFERROR(VLOOKUP(K4,'CSI Counts'!$B$2:$M$51,11,FALSE),"")</f>
        <v/>
      </c>
      <c r="L20" s="2" t="str">
        <f>IFERROR(VLOOKUP(L4,'CSI Counts'!$B$2:$M$51,11,FALSE),"")</f>
        <v/>
      </c>
      <c r="M20" s="2" t="str">
        <f>IFERROR(VLOOKUP(M4,'CSI Counts'!$B$2:$M$51,11,FALSE),"")</f>
        <v/>
      </c>
      <c r="N20" s="2" t="str">
        <f>IFERROR(VLOOKUP(N4,'CSI Counts'!$B$2:$M$51,11,FALSE),"")</f>
        <v/>
      </c>
    </row>
    <row r="21" spans="1:14" ht="25" x14ac:dyDescent="0.25">
      <c r="A21" s="1" t="s">
        <v>20</v>
      </c>
      <c r="B21" s="11">
        <f>ROUND(B15/B20,4)</f>
        <v>0.88429999999999997</v>
      </c>
      <c r="C21" s="11"/>
      <c r="E21" s="11">
        <f>IFERROR(E15/E20,"")</f>
        <v>0.85102420856610805</v>
      </c>
      <c r="F21" s="11" t="str">
        <f>IFERROR(F15/F20,"")</f>
        <v/>
      </c>
      <c r="G21" s="11" t="str">
        <f t="shared" ref="G21:N21" si="1">IFERROR(G15/G20,"")</f>
        <v/>
      </c>
      <c r="H21" s="11" t="str">
        <f t="shared" si="1"/>
        <v/>
      </c>
      <c r="I21" s="11" t="str">
        <f t="shared" si="1"/>
        <v/>
      </c>
      <c r="J21" s="11" t="str">
        <f t="shared" si="1"/>
        <v/>
      </c>
      <c r="K21" s="11" t="str">
        <f t="shared" si="1"/>
        <v/>
      </c>
      <c r="L21" s="11" t="str">
        <f t="shared" si="1"/>
        <v/>
      </c>
      <c r="M21" s="11" t="str">
        <f t="shared" si="1"/>
        <v/>
      </c>
      <c r="N21" s="11" t="str">
        <f t="shared" si="1"/>
        <v/>
      </c>
    </row>
    <row r="22" spans="1:14" x14ac:dyDescent="0.25">
      <c r="A22" t="s">
        <v>18</v>
      </c>
      <c r="B22" s="8">
        <f>B37-B13</f>
        <v>1761.0515645839623</v>
      </c>
      <c r="C22" s="8"/>
      <c r="E22" s="8">
        <f>IFERROR(IF(E9=0,0,ROUND(IF(E9=0,"",($B$17/$B$9)*(E21/$B$21)),2)),"")</f>
        <v>1481.15</v>
      </c>
      <c r="F22" s="8" t="str">
        <f>IFERROR(IF(F9=0,0,ROUND(IF(F9=0,"",($B$17/$B$9)*(F21/$B$21)),2)),"")</f>
        <v/>
      </c>
      <c r="G22" s="8" t="str">
        <f t="shared" ref="G22:N22" si="2">IFERROR(IF(G9=0,0,ROUND(IF(G9=0,"",($B$17/$B$9)*(G21/$B$21)),2)),"")</f>
        <v/>
      </c>
      <c r="H22" s="8" t="str">
        <f t="shared" si="2"/>
        <v/>
      </c>
      <c r="I22" s="8" t="str">
        <f t="shared" si="2"/>
        <v/>
      </c>
      <c r="J22" s="8" t="str">
        <f t="shared" si="2"/>
        <v/>
      </c>
      <c r="K22" s="8" t="str">
        <f t="shared" si="2"/>
        <v/>
      </c>
      <c r="L22" s="8" t="str">
        <f t="shared" si="2"/>
        <v/>
      </c>
      <c r="M22" s="8" t="str">
        <f t="shared" si="2"/>
        <v/>
      </c>
      <c r="N22" s="8" t="str">
        <f t="shared" si="2"/>
        <v/>
      </c>
    </row>
    <row r="23" spans="1:14" x14ac:dyDescent="0.25">
      <c r="B23" s="8"/>
      <c r="C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t="s">
        <v>479</v>
      </c>
      <c r="B24" s="8">
        <f>VLOOKUP(B5,Inputs!A4:N181,14,FALSE)</f>
        <v>1525</v>
      </c>
      <c r="C24" s="8"/>
      <c r="E24" s="2">
        <f>IFERROR(VLOOKUP(E4,'CSI Counts'!$B$2:$O$51,13,FALSE),"")</f>
        <v>160</v>
      </c>
      <c r="F24" s="2" t="str">
        <f>IFERROR(VLOOKUP(F4,'CSI Counts'!$B$2:$O$51,13,FALSE),"")</f>
        <v/>
      </c>
      <c r="G24" s="2" t="str">
        <f>IFERROR(VLOOKUP(G4,'CSI Counts'!$B$2:$O$51,13,FALSE),"")</f>
        <v/>
      </c>
      <c r="H24" s="2" t="str">
        <f>IFERROR(VLOOKUP(H4,'CSI Counts'!$B$2:$O$51,13,FALSE),"")</f>
        <v/>
      </c>
      <c r="I24" s="2" t="str">
        <f>IFERROR(VLOOKUP(I4,'CSI Counts'!$B$2:$O$51,13,FALSE),"")</f>
        <v/>
      </c>
      <c r="J24" s="2" t="str">
        <f>IFERROR(VLOOKUP(J4,'CSI Counts'!$B$2:$O$51,13,FALSE),"")</f>
        <v/>
      </c>
      <c r="K24" s="2" t="str">
        <f>IFERROR(VLOOKUP(K4,'CSI Counts'!$B$2:$O$51,13,FALSE),"")</f>
        <v/>
      </c>
      <c r="L24" s="2" t="str">
        <f>IFERROR(VLOOKUP(L4,'CSI Counts'!$B$2:$O$51,13,FALSE),"")</f>
        <v/>
      </c>
      <c r="M24" s="2" t="str">
        <f>IFERROR(VLOOKUP(M4,'CSI Counts'!$B$2:$O$51,13,FALSE),"")</f>
        <v/>
      </c>
      <c r="N24" s="2" t="str">
        <f>IFERROR(VLOOKUP(N4,'CSI Counts'!$B$2:$O$51,13,FALSE),"")</f>
        <v/>
      </c>
    </row>
    <row r="25" spans="1:14" x14ac:dyDescent="0.25">
      <c r="A25" t="s">
        <v>480</v>
      </c>
      <c r="B25" s="32">
        <f>B24/B11</f>
        <v>0.29096945297742838</v>
      </c>
      <c r="C25" s="8"/>
      <c r="E25" s="11">
        <f>IFERROR(E24/E20,0)</f>
        <v>0.297951582867784</v>
      </c>
      <c r="F25" s="11">
        <f t="shared" ref="F25:N25" si="3">IFERROR(F24/F20,0)</f>
        <v>0</v>
      </c>
      <c r="G25" s="11">
        <f t="shared" si="3"/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</row>
    <row r="26" spans="1:14" x14ac:dyDescent="0.25">
      <c r="A26" s="26" t="s">
        <v>482</v>
      </c>
      <c r="B26" s="8">
        <f>VLOOKUP(B5,Inputs!A4:O183,15,FALSE)</f>
        <v>1269446.29</v>
      </c>
      <c r="C26" s="8"/>
      <c r="E26" s="8">
        <f>IFERROR(IF(E13=0,0,ROUND(IF(E13=0,"",($B$26/$B$9)*(E25/$B$25)),2)),"")</f>
        <v>223.01</v>
      </c>
      <c r="F26" s="8">
        <f t="shared" ref="F26:N26" si="4">IFERROR(IF(F13=0,0,ROUND(IF(F13=0,"",($B$26/$B$9)*(F25/$B$25)),2)),"")</f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8">
        <f t="shared" si="4"/>
        <v>0</v>
      </c>
      <c r="M26" s="8">
        <f t="shared" si="4"/>
        <v>0</v>
      </c>
      <c r="N26" s="8">
        <f t="shared" si="4"/>
        <v>0</v>
      </c>
    </row>
    <row r="27" spans="1:14" x14ac:dyDescent="0.25">
      <c r="E27" s="8"/>
      <c r="F27" s="8"/>
    </row>
    <row r="28" spans="1:14" x14ac:dyDescent="0.25">
      <c r="A28" t="s">
        <v>9</v>
      </c>
      <c r="B28" s="8">
        <f>VLOOKUP(B5,Inputs!A3:M180,9,FALSE)</f>
        <v>70881780.040000007</v>
      </c>
      <c r="C28" s="8"/>
      <c r="E28" s="8"/>
      <c r="F28" s="8"/>
    </row>
    <row r="29" spans="1:14" x14ac:dyDescent="0.25">
      <c r="A29" t="s">
        <v>424</v>
      </c>
      <c r="B29" s="8">
        <f>VLOOKUP(B5,Inputs!A4:M181,10,FALSE)</f>
        <v>0</v>
      </c>
      <c r="C29" s="8">
        <f>ROUND(B29/B9,2)</f>
        <v>0</v>
      </c>
      <c r="E29" s="8"/>
      <c r="F29" s="8"/>
    </row>
    <row r="30" spans="1:14" x14ac:dyDescent="0.25">
      <c r="A30" t="s">
        <v>419</v>
      </c>
      <c r="B30" s="8">
        <f>VLOOKUP(B5,Inputs!A4:M181,12,FALSE)</f>
        <v>70881780.040000007</v>
      </c>
      <c r="C30" s="8"/>
      <c r="E30" s="8"/>
      <c r="F30" s="8"/>
    </row>
    <row r="31" spans="1:14" x14ac:dyDescent="0.25">
      <c r="C31" s="13" t="s">
        <v>421</v>
      </c>
      <c r="E31" s="8"/>
      <c r="F31" s="8"/>
    </row>
    <row r="32" spans="1:14" x14ac:dyDescent="0.25">
      <c r="A32" t="s">
        <v>6</v>
      </c>
      <c r="B32" s="8">
        <f>B30/B9</f>
        <v>12160.61282596761</v>
      </c>
      <c r="C32" s="8"/>
      <c r="E32" s="8"/>
      <c r="F32" s="8"/>
    </row>
    <row r="33" spans="1:17" x14ac:dyDescent="0.25">
      <c r="B33" s="8"/>
      <c r="C33" s="8"/>
      <c r="E33" s="8"/>
      <c r="F33" s="8"/>
    </row>
    <row r="34" spans="1:17" x14ac:dyDescent="0.25">
      <c r="A34" s="26" t="s">
        <v>483</v>
      </c>
      <c r="B34" s="8">
        <f>VLOOKUP(B5,Inputs!A4:M181,13,FALSE)</f>
        <v>10791.3</v>
      </c>
      <c r="C34" s="8"/>
      <c r="E34" s="8"/>
      <c r="F34" s="8"/>
    </row>
    <row r="35" spans="1:17" x14ac:dyDescent="0.25">
      <c r="A35" t="s">
        <v>16</v>
      </c>
      <c r="B35" s="8"/>
      <c r="C35" s="6"/>
      <c r="E35" s="8">
        <f>IFERROR(IF(E9=0,0,E$13+E$22+E$26+$C$29),"")</f>
        <v>12109.457463090001</v>
      </c>
      <c r="F35" s="8" t="str">
        <f t="shared" ref="F35:N35" si="5">IFERROR(IF(F9=0,0,F$13+F$22+F$26+$C$29),"")</f>
        <v/>
      </c>
      <c r="G35" s="8" t="str">
        <f t="shared" si="5"/>
        <v/>
      </c>
      <c r="H35" s="8" t="str">
        <f t="shared" si="5"/>
        <v/>
      </c>
      <c r="I35" s="8" t="str">
        <f t="shared" si="5"/>
        <v/>
      </c>
      <c r="J35" s="8" t="str">
        <f t="shared" si="5"/>
        <v/>
      </c>
      <c r="K35" s="8" t="str">
        <f t="shared" si="5"/>
        <v/>
      </c>
      <c r="L35" s="8" t="str">
        <f t="shared" si="5"/>
        <v/>
      </c>
      <c r="M35" s="8" t="str">
        <f t="shared" si="5"/>
        <v/>
      </c>
      <c r="N35" s="8" t="str">
        <f t="shared" si="5"/>
        <v/>
      </c>
    </row>
    <row r="36" spans="1:17" x14ac:dyDescent="0.25">
      <c r="A36" s="1" t="s">
        <v>422</v>
      </c>
      <c r="B36" s="8"/>
      <c r="C36" s="6"/>
      <c r="E36" s="8">
        <f>IF($B$34&gt;E35,$B$34,E35)</f>
        <v>12109.457463090001</v>
      </c>
      <c r="F36" s="8" t="str">
        <f t="shared" ref="F36:N36" si="6">IF($B$34&gt;F35,$B$34,F35)</f>
        <v/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 t="shared" si="6"/>
        <v/>
      </c>
    </row>
    <row r="37" spans="1:17" x14ac:dyDescent="0.25">
      <c r="A37" t="s">
        <v>5</v>
      </c>
      <c r="B37" s="8">
        <f>(B30-C39)/B11</f>
        <v>12166.349027673963</v>
      </c>
      <c r="C37" s="8"/>
      <c r="E37" s="8"/>
      <c r="F37" s="8"/>
    </row>
    <row r="38" spans="1:17" x14ac:dyDescent="0.25">
      <c r="E38" s="8"/>
      <c r="F38" s="8"/>
    </row>
    <row r="39" spans="1:17" x14ac:dyDescent="0.25">
      <c r="A39" t="s">
        <v>14</v>
      </c>
      <c r="C39" s="5">
        <f>SUM(E39:N39)</f>
        <v>7116728.151057994</v>
      </c>
      <c r="E39" s="8">
        <f t="shared" ref="E39:N39" si="7">IFERROR(E36*E9,"")</f>
        <v>7116728.151057994</v>
      </c>
      <c r="F39" s="8" t="str">
        <f t="shared" si="7"/>
        <v/>
      </c>
      <c r="G39" s="8" t="str">
        <f t="shared" si="7"/>
        <v/>
      </c>
      <c r="H39" s="8" t="str">
        <f t="shared" si="7"/>
        <v/>
      </c>
      <c r="I39" s="8" t="str">
        <f t="shared" si="7"/>
        <v/>
      </c>
      <c r="J39" s="8" t="str">
        <f t="shared" si="7"/>
        <v/>
      </c>
      <c r="K39" s="8" t="str">
        <f t="shared" si="7"/>
        <v/>
      </c>
      <c r="L39" s="8" t="str">
        <f t="shared" si="7"/>
        <v/>
      </c>
      <c r="M39" s="8" t="str">
        <f t="shared" si="7"/>
        <v/>
      </c>
      <c r="N39" s="8" t="str">
        <f t="shared" si="7"/>
        <v/>
      </c>
    </row>
    <row r="40" spans="1:17" x14ac:dyDescent="0.25">
      <c r="A40" t="s">
        <v>15</v>
      </c>
      <c r="C40" s="5">
        <f>SUM(E40:N40)</f>
        <v>7146792.1578211645</v>
      </c>
      <c r="E40" s="8">
        <f t="shared" ref="E40:N40" si="8">IFERROR($B$32*E9,"")</f>
        <v>7146792.1578211645</v>
      </c>
      <c r="F40" s="8" t="str">
        <f t="shared" si="8"/>
        <v/>
      </c>
      <c r="G40" s="8" t="str">
        <f t="shared" si="8"/>
        <v/>
      </c>
      <c r="H40" s="8" t="str">
        <f t="shared" si="8"/>
        <v/>
      </c>
      <c r="I40" s="8" t="str">
        <f t="shared" si="8"/>
        <v/>
      </c>
      <c r="J40" s="8" t="str">
        <f t="shared" si="8"/>
        <v/>
      </c>
      <c r="K40" s="8" t="str">
        <f t="shared" si="8"/>
        <v/>
      </c>
      <c r="L40" s="8" t="str">
        <f t="shared" si="8"/>
        <v/>
      </c>
      <c r="M40" s="8" t="str">
        <f t="shared" si="8"/>
        <v/>
      </c>
      <c r="N40" s="8" t="str">
        <f t="shared" si="8"/>
        <v/>
      </c>
    </row>
    <row r="41" spans="1:17" x14ac:dyDescent="0.25">
      <c r="A41" t="s">
        <v>17</v>
      </c>
      <c r="B41" s="8"/>
      <c r="C41" s="5">
        <f>SUM(E41:N41)</f>
        <v>-30064.006763170473</v>
      </c>
      <c r="E41" s="8">
        <f>IFERROR(E39-E40,"")</f>
        <v>-30064.006763170473</v>
      </c>
      <c r="F41" s="8" t="str">
        <f>IFERROR(F39-F40,"")</f>
        <v/>
      </c>
      <c r="G41" s="8" t="str">
        <f t="shared" ref="G41:N41" si="9">IFERROR(G39-G40,"")</f>
        <v/>
      </c>
      <c r="H41" s="8" t="str">
        <f t="shared" si="9"/>
        <v/>
      </c>
      <c r="I41" s="8" t="str">
        <f t="shared" si="9"/>
        <v/>
      </c>
      <c r="J41" s="8" t="str">
        <f t="shared" si="9"/>
        <v/>
      </c>
      <c r="K41" s="8" t="str">
        <f t="shared" si="9"/>
        <v/>
      </c>
      <c r="L41" s="8" t="str">
        <f t="shared" si="9"/>
        <v/>
      </c>
      <c r="M41" s="8" t="str">
        <f t="shared" si="9"/>
        <v/>
      </c>
      <c r="N41" s="8" t="str">
        <f t="shared" si="9"/>
        <v/>
      </c>
      <c r="O41" s="8">
        <f>SUM(E41:N41)</f>
        <v>-30064.006763170473</v>
      </c>
      <c r="P41">
        <v>12757.99</v>
      </c>
      <c r="Q41" s="8">
        <f>O41+P41</f>
        <v>-17306.016763170475</v>
      </c>
    </row>
    <row r="42" spans="1:17" x14ac:dyDescent="0.25">
      <c r="A42" t="s">
        <v>8</v>
      </c>
      <c r="B42" s="8">
        <f>B28-C39+B29</f>
        <v>63765051.888942011</v>
      </c>
      <c r="C42" s="5">
        <f>SUM(E42:N42)</f>
        <v>7116728.151057994</v>
      </c>
      <c r="E42" s="8">
        <f t="shared" ref="E42:N42" si="10">IFERROR(E36*E9,"")</f>
        <v>7116728.151057994</v>
      </c>
      <c r="F42" s="8" t="str">
        <f t="shared" si="10"/>
        <v/>
      </c>
      <c r="G42" s="8" t="str">
        <f t="shared" si="10"/>
        <v/>
      </c>
      <c r="H42" s="8" t="str">
        <f t="shared" si="10"/>
        <v/>
      </c>
      <c r="I42" s="8" t="str">
        <f t="shared" si="10"/>
        <v/>
      </c>
      <c r="J42" s="8" t="str">
        <f t="shared" si="10"/>
        <v/>
      </c>
      <c r="K42" s="8" t="str">
        <f t="shared" si="10"/>
        <v/>
      </c>
      <c r="L42" s="8" t="str">
        <f t="shared" si="10"/>
        <v/>
      </c>
      <c r="M42" s="8" t="str">
        <f t="shared" si="10"/>
        <v/>
      </c>
      <c r="N42" s="8" t="str">
        <f t="shared" si="10"/>
        <v/>
      </c>
      <c r="O42" s="8">
        <f>O41/5</f>
        <v>-6012.8013526340947</v>
      </c>
      <c r="P42" s="8">
        <f>P41/5</f>
        <v>2551.598</v>
      </c>
      <c r="Q42" s="8">
        <f>O42+P42</f>
        <v>-3461.2033526340947</v>
      </c>
    </row>
    <row r="44" spans="1:17" x14ac:dyDescent="0.25">
      <c r="C44" s="5"/>
      <c r="E44" s="8">
        <f>IFERROR(ROUND(E41/6,2),"")</f>
        <v>-5010.67</v>
      </c>
      <c r="F44" s="8" t="str">
        <f t="shared" ref="F44:N44" si="11">IFERROR(ROUND(F41/6,2),"")</f>
        <v/>
      </c>
      <c r="G44" s="8" t="str">
        <f t="shared" si="11"/>
        <v/>
      </c>
      <c r="H44" s="8" t="str">
        <f t="shared" si="11"/>
        <v/>
      </c>
      <c r="I44" s="8" t="str">
        <f t="shared" si="11"/>
        <v/>
      </c>
      <c r="J44" s="8" t="str">
        <f t="shared" si="11"/>
        <v/>
      </c>
      <c r="K44" s="8" t="str">
        <f t="shared" si="11"/>
        <v/>
      </c>
      <c r="L44" s="8" t="str">
        <f t="shared" si="11"/>
        <v/>
      </c>
      <c r="M44" s="8" t="str">
        <f t="shared" si="11"/>
        <v/>
      </c>
      <c r="N44" s="8" t="str">
        <f t="shared" si="11"/>
        <v/>
      </c>
      <c r="O44" s="8">
        <f>O42*5</f>
        <v>-30064.006763170473</v>
      </c>
      <c r="P44" s="8">
        <f>P42*5</f>
        <v>12757.99</v>
      </c>
      <c r="Q44" s="8">
        <f>Q42*5</f>
        <v>-17306.016763170475</v>
      </c>
    </row>
    <row r="45" spans="1:17" x14ac:dyDescent="0.25">
      <c r="O45" s="8"/>
    </row>
  </sheetData>
  <pageMargins left="0.5" right="0.5" top="0.75" bottom="0.75" header="0.25" footer="0.25"/>
  <pageSetup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56765-1A42-407E-B315-3AB071523B58}">
  <sheetPr>
    <pageSetUpPr fitToPage="1"/>
  </sheetPr>
  <dimension ref="A1:Q45"/>
  <sheetViews>
    <sheetView zoomScale="85" workbookViewId="0">
      <selection activeCell="E5" sqref="E5"/>
    </sheetView>
  </sheetViews>
  <sheetFormatPr defaultRowHeight="12.5" x14ac:dyDescent="0.25"/>
  <cols>
    <col min="1" max="1" width="56.7265625" bestFit="1" customWidth="1"/>
    <col min="2" max="2" width="18.26953125" customWidth="1"/>
    <col min="3" max="3" width="13.81640625" customWidth="1"/>
    <col min="4" max="4" width="6" customWidth="1"/>
    <col min="5" max="6" width="14.26953125" bestFit="1" customWidth="1"/>
    <col min="7" max="7" width="14.453125" bestFit="1" customWidth="1"/>
    <col min="8" max="10" width="13.1796875" bestFit="1" customWidth="1"/>
    <col min="11" max="11" width="11.54296875" bestFit="1" customWidth="1"/>
    <col min="12" max="14" width="13.1796875" bestFit="1" customWidth="1"/>
    <col min="15" max="15" width="12.26953125" bestFit="1" customWidth="1"/>
    <col min="16" max="16" width="10.54296875" bestFit="1" customWidth="1"/>
    <col min="17" max="17" width="11.54296875" bestFit="1" customWidth="1"/>
  </cols>
  <sheetData>
    <row r="1" spans="1:14" ht="13" x14ac:dyDescent="0.3">
      <c r="A1" s="16" t="s">
        <v>416</v>
      </c>
    </row>
    <row r="2" spans="1:14" x14ac:dyDescent="0.25">
      <c r="A2" t="s">
        <v>417</v>
      </c>
    </row>
    <row r="3" spans="1:14" x14ac:dyDescent="0.25">
      <c r="A3" t="s">
        <v>418</v>
      </c>
    </row>
    <row r="4" spans="1:14" x14ac:dyDescent="0.25">
      <c r="E4" s="20" t="s">
        <v>444</v>
      </c>
      <c r="F4" s="17" t="s">
        <v>514</v>
      </c>
      <c r="G4" s="17"/>
      <c r="H4" s="18"/>
      <c r="I4" s="18"/>
      <c r="J4" s="18"/>
      <c r="K4" s="18"/>
      <c r="L4" s="18"/>
      <c r="M4" s="18"/>
      <c r="N4" s="18"/>
    </row>
    <row r="5" spans="1:14" ht="27.75" customHeight="1" x14ac:dyDescent="0.35">
      <c r="A5" s="12" t="s">
        <v>0</v>
      </c>
      <c r="B5" s="30" t="s">
        <v>236</v>
      </c>
      <c r="E5" s="19" t="str">
        <f>IFERROR(VLOOKUP(E4,'CSI Counts'!R2:S47,2,FALSE),"")</f>
        <v>High Point Academy</v>
      </c>
      <c r="F5" s="19" t="str">
        <f>IFERROR(VLOOKUP(F4,'CSI Counts'!S2:T47,2,FALSE),"")</f>
        <v/>
      </c>
      <c r="G5" s="19" t="str">
        <f>IFERROR(VLOOKUP(G4,'CSI Counts'!T2:U47,2,FALSE),"")</f>
        <v/>
      </c>
      <c r="H5" s="19" t="str">
        <f>IFERROR(VLOOKUP(H4,'CSI Counts'!U2:V47,2,FALSE),"")</f>
        <v/>
      </c>
      <c r="I5" s="19" t="str">
        <f>IFERROR(VLOOKUP(I4,'CSI Counts'!V2:W47,2,FALSE),"")</f>
        <v/>
      </c>
      <c r="J5" s="19" t="str">
        <f>IFERROR(VLOOKUP(J4,'CSI Counts'!W2:X47,2,FALSE),"")</f>
        <v/>
      </c>
      <c r="K5" s="19" t="str">
        <f>IFERROR(VLOOKUP(K4,'CSI Counts'!X2:Y47,2,FALSE),"")</f>
        <v/>
      </c>
      <c r="L5" s="19" t="str">
        <f>IFERROR(VLOOKUP(L4,'CSI Counts'!Y2:Z47,2,FALSE),"")</f>
        <v/>
      </c>
      <c r="M5" s="19" t="str">
        <f>IFERROR(VLOOKUP(M4,'CSI Counts'!Z2:AA47,2,FALSE),"")</f>
        <v/>
      </c>
      <c r="N5" s="19" t="str">
        <f>IFERROR(VLOOKUP(N4,'CSI Counts'!AA2:AB47,2,FALSE),"")</f>
        <v/>
      </c>
    </row>
    <row r="6" spans="1:14" ht="17.25" customHeight="1" x14ac:dyDescent="0.25">
      <c r="A6" t="s">
        <v>415</v>
      </c>
      <c r="B6" s="3" t="str">
        <f>VLOOKUP(B5,Inputs,3,3)</f>
        <v>BRIGHTON</v>
      </c>
    </row>
    <row r="7" spans="1:14" ht="25" x14ac:dyDescent="0.25">
      <c r="A7" t="s">
        <v>19</v>
      </c>
      <c r="B7" s="3" t="s">
        <v>1</v>
      </c>
      <c r="C7" s="4" t="s">
        <v>412</v>
      </c>
      <c r="D7" s="4"/>
      <c r="E7" s="14" t="s">
        <v>423</v>
      </c>
      <c r="F7" s="15" t="s">
        <v>423</v>
      </c>
      <c r="G7" s="15" t="s">
        <v>423</v>
      </c>
      <c r="H7" s="15" t="s">
        <v>423</v>
      </c>
      <c r="I7" s="15" t="s">
        <v>423</v>
      </c>
      <c r="J7" s="15" t="s">
        <v>423</v>
      </c>
      <c r="K7" s="15" t="s">
        <v>423</v>
      </c>
      <c r="L7" s="15" t="s">
        <v>423</v>
      </c>
      <c r="M7" s="15" t="s">
        <v>423</v>
      </c>
      <c r="N7" s="15" t="s">
        <v>423</v>
      </c>
    </row>
    <row r="9" spans="1:14" x14ac:dyDescent="0.25">
      <c r="A9" t="s">
        <v>3</v>
      </c>
      <c r="B9" s="6">
        <f>VLOOKUP(B5,Inputs,4,3)</f>
        <v>24030.6</v>
      </c>
      <c r="C9" s="6">
        <f>SUM(E9:N9)</f>
        <v>936.09999999999991</v>
      </c>
      <c r="E9" s="2">
        <f>IFERROR(VLOOKUP(E4,'CSI Counts'!$B$2:$N$51,12,FALSE),"")</f>
        <v>645.79999999999995</v>
      </c>
      <c r="F9" s="2">
        <f>IFERROR(VLOOKUP(F4,'CSI Counts'!$B$2:$N$51,12,FALSE),"")</f>
        <v>290.3</v>
      </c>
      <c r="G9" s="2" t="str">
        <f>IFERROR(VLOOKUP(G4,'CSI Counts'!$B$2:$N$51,12,FALSE),"")</f>
        <v/>
      </c>
      <c r="H9" s="2" t="str">
        <f>IFERROR(VLOOKUP(H4,'CSI Counts'!$B$2:$N$51,12,FALSE),"")</f>
        <v/>
      </c>
      <c r="I9" s="2" t="str">
        <f>IFERROR(VLOOKUP(I4,'CSI Counts'!$B$2:$N$51,12,FALSE),"")</f>
        <v/>
      </c>
      <c r="J9" s="2" t="str">
        <f>IFERROR(VLOOKUP(J4,'CSI Counts'!$B$2:$N$51,12,FALSE),"")</f>
        <v/>
      </c>
      <c r="K9" s="2" t="str">
        <f>IFERROR(VLOOKUP(K4,'CSI Counts'!$B$2:$N$51,12,FALSE),"")</f>
        <v/>
      </c>
      <c r="L9" s="2" t="str">
        <f>IFERROR(VLOOKUP(L4,'CSI Counts'!$B$2:$N$51,12,FALSE),"")</f>
        <v/>
      </c>
      <c r="M9" s="2" t="str">
        <f>IFERROR(VLOOKUP(M4,'CSI Counts'!$B$2:$N$51,12,FALSE),"")</f>
        <v/>
      </c>
      <c r="N9" s="2" t="str">
        <f>IFERROR(VLOOKUP(N4,'CSI Counts'!$B$2:$N$51,12,FALSE),"")</f>
        <v/>
      </c>
    </row>
    <row r="10" spans="1:14" x14ac:dyDescent="0.25">
      <c r="A10" t="s">
        <v>10</v>
      </c>
      <c r="B10" s="7">
        <f>-C9</f>
        <v>-936.09999999999991</v>
      </c>
      <c r="C10" s="7"/>
    </row>
    <row r="11" spans="1:14" x14ac:dyDescent="0.25">
      <c r="A11" t="s">
        <v>11</v>
      </c>
      <c r="B11" s="7">
        <f>B9+B10</f>
        <v>23094.5</v>
      </c>
      <c r="C11" s="7"/>
    </row>
    <row r="12" spans="1:14" x14ac:dyDescent="0.25">
      <c r="B12" s="7"/>
      <c r="C12" s="7"/>
    </row>
    <row r="13" spans="1:14" x14ac:dyDescent="0.25">
      <c r="A13" s="1" t="s">
        <v>13</v>
      </c>
      <c r="B13" s="8">
        <f>VLOOKUP(B5,Inputs,6,3)</f>
        <v>10448.718247659999</v>
      </c>
      <c r="C13" s="8">
        <f>B13</f>
        <v>10448.718247659999</v>
      </c>
      <c r="E13" s="8">
        <f>$B$13</f>
        <v>10448.718247659999</v>
      </c>
      <c r="F13" s="8">
        <f t="shared" ref="F13:N13" si="0">$B$13</f>
        <v>10448.718247659999</v>
      </c>
      <c r="G13" s="8">
        <f t="shared" si="0"/>
        <v>10448.718247659999</v>
      </c>
      <c r="H13" s="8">
        <f t="shared" si="0"/>
        <v>10448.718247659999</v>
      </c>
      <c r="I13" s="8">
        <f t="shared" si="0"/>
        <v>10448.718247659999</v>
      </c>
      <c r="J13" s="8">
        <f t="shared" si="0"/>
        <v>10448.718247659999</v>
      </c>
      <c r="K13" s="8">
        <f t="shared" si="0"/>
        <v>10448.718247659999</v>
      </c>
      <c r="L13" s="8">
        <f t="shared" si="0"/>
        <v>10448.718247659999</v>
      </c>
      <c r="M13" s="8">
        <f t="shared" si="0"/>
        <v>10448.718247659999</v>
      </c>
      <c r="N13" s="8">
        <f t="shared" si="0"/>
        <v>10448.718247659999</v>
      </c>
    </row>
    <row r="15" spans="1:14" x14ac:dyDescent="0.25">
      <c r="A15" t="s">
        <v>2</v>
      </c>
      <c r="B15" s="6">
        <f>VLOOKUP(B5,Inputs,5,3)</f>
        <v>12353.5</v>
      </c>
      <c r="C15" s="6">
        <f>SUM(E15:N15)</f>
        <v>435</v>
      </c>
      <c r="E15" s="2">
        <f>IFERROR(VLOOKUP(E4,'CSI Counts'!$B$2:$P$51,14,FALSE),"")</f>
        <v>381</v>
      </c>
      <c r="F15" s="2">
        <f>IFERROR(VLOOKUP(F4,'CSI Counts'!$B$2:$P$51,14,FALSE),"")</f>
        <v>54</v>
      </c>
      <c r="G15" s="2" t="str">
        <f>IFERROR(VLOOKUP(G4,'CSI Counts'!$B$2:$P$51,14,FALSE),"")</f>
        <v/>
      </c>
      <c r="H15" s="2" t="str">
        <f>IFERROR(VLOOKUP(H4,'CSI Counts'!$B$2:$P$51,14,FALSE),"")</f>
        <v/>
      </c>
      <c r="I15" s="2" t="str">
        <f>IFERROR(VLOOKUP(I4,'CSI Counts'!$B$2:$P$51,14,FALSE),"")</f>
        <v/>
      </c>
      <c r="J15" s="2" t="str">
        <f>IFERROR(VLOOKUP(J4,'CSI Counts'!$B$2:$P$51,14,FALSE),"")</f>
        <v/>
      </c>
      <c r="K15" s="2" t="str">
        <f>IFERROR(VLOOKUP(K4,'CSI Counts'!$B$2:$P$51,14,FALSE),"")</f>
        <v/>
      </c>
      <c r="L15" s="2" t="str">
        <f>IFERROR(VLOOKUP(L4,'CSI Counts'!$B$2:$P$51,14,FALSE),"")</f>
        <v/>
      </c>
      <c r="M15" s="2" t="str">
        <f>IFERROR(VLOOKUP(M4,'CSI Counts'!$B$2:$P$51,14,FALSE),"")</f>
        <v/>
      </c>
      <c r="N15" s="2" t="str">
        <f>IFERROR(VLOOKUP(N4,'CSI Counts'!$B$2:$P$51,14,FALSE),"")</f>
        <v/>
      </c>
    </row>
    <row r="16" spans="1:14" x14ac:dyDescent="0.25">
      <c r="A16" s="1"/>
      <c r="B16" s="9"/>
      <c r="C16" s="9"/>
    </row>
    <row r="17" spans="1:14" x14ac:dyDescent="0.25">
      <c r="A17" s="1" t="s">
        <v>7</v>
      </c>
      <c r="B17" s="8">
        <f>VLOOKUP(B5,Inputs,7,3)</f>
        <v>15670279.1</v>
      </c>
      <c r="C17" s="8"/>
    </row>
    <row r="18" spans="1:14" x14ac:dyDescent="0.25">
      <c r="A18" t="s">
        <v>12</v>
      </c>
      <c r="B18">
        <f>ROUND(B17/B9,2)</f>
        <v>652.1</v>
      </c>
    </row>
    <row r="20" spans="1:14" x14ac:dyDescent="0.25">
      <c r="A20" t="s">
        <v>4</v>
      </c>
      <c r="B20" s="10">
        <f>VLOOKUP(B5,Inputs,8,3)</f>
        <v>24034</v>
      </c>
      <c r="C20" s="6">
        <f>SUM(E20:N20)</f>
        <v>925</v>
      </c>
      <c r="E20" s="2">
        <f>IFERROR(VLOOKUP(E4,'CSI Counts'!$B$2:$M$51,11,FALSE),"")</f>
        <v>620</v>
      </c>
      <c r="F20" s="2">
        <f>IFERROR(VLOOKUP(F4,'CSI Counts'!$B$2:$M$51,11,FALSE),"")</f>
        <v>305</v>
      </c>
      <c r="G20" s="2" t="str">
        <f>IFERROR(VLOOKUP(G4,'CSI Counts'!$B$2:$M$51,11,FALSE),"")</f>
        <v/>
      </c>
      <c r="H20" s="2" t="str">
        <f>IFERROR(VLOOKUP(H4,'CSI Counts'!$B$2:$M$51,11,FALSE),"")</f>
        <v/>
      </c>
      <c r="I20" s="2" t="str">
        <f>IFERROR(VLOOKUP(I4,'CSI Counts'!$B$2:$M$51,11,FALSE),"")</f>
        <v/>
      </c>
      <c r="J20" s="2" t="str">
        <f>IFERROR(VLOOKUP(J4,'CSI Counts'!$B$2:$M$51,11,FALSE),"")</f>
        <v/>
      </c>
      <c r="K20" s="2" t="str">
        <f>IFERROR(VLOOKUP(K4,'CSI Counts'!$B$2:$M$51,11,FALSE),"")</f>
        <v/>
      </c>
      <c r="L20" s="2" t="str">
        <f>IFERROR(VLOOKUP(L4,'CSI Counts'!$B$2:$M$51,11,FALSE),"")</f>
        <v/>
      </c>
      <c r="M20" s="2" t="str">
        <f>IFERROR(VLOOKUP(M4,'CSI Counts'!$B$2:$M$51,11,FALSE),"")</f>
        <v/>
      </c>
      <c r="N20" s="2" t="str">
        <f>IFERROR(VLOOKUP(N4,'CSI Counts'!$B$2:$M$51,11,FALSE),"")</f>
        <v/>
      </c>
    </row>
    <row r="21" spans="1:14" ht="25" x14ac:dyDescent="0.25">
      <c r="A21" s="1" t="s">
        <v>20</v>
      </c>
      <c r="B21" s="11">
        <f>ROUND(B15/B20,4)</f>
        <v>0.51400000000000001</v>
      </c>
      <c r="C21" s="11"/>
      <c r="E21" s="11">
        <f>IFERROR(E15/E20,"")</f>
        <v>0.61451612903225805</v>
      </c>
      <c r="F21" s="11">
        <f>IFERROR(F15/F20,"")</f>
        <v>0.17704918032786884</v>
      </c>
      <c r="G21" s="11" t="str">
        <f t="shared" ref="G21:N21" si="1">IFERROR(G15/G20,"")</f>
        <v/>
      </c>
      <c r="H21" s="11" t="str">
        <f t="shared" si="1"/>
        <v/>
      </c>
      <c r="I21" s="11" t="str">
        <f t="shared" si="1"/>
        <v/>
      </c>
      <c r="J21" s="11" t="str">
        <f t="shared" si="1"/>
        <v/>
      </c>
      <c r="K21" s="11" t="str">
        <f t="shared" si="1"/>
        <v/>
      </c>
      <c r="L21" s="11" t="str">
        <f t="shared" si="1"/>
        <v/>
      </c>
      <c r="M21" s="11" t="str">
        <f t="shared" si="1"/>
        <v/>
      </c>
      <c r="N21" s="11" t="str">
        <f t="shared" si="1"/>
        <v/>
      </c>
    </row>
    <row r="22" spans="1:14" x14ac:dyDescent="0.25">
      <c r="A22" t="s">
        <v>18</v>
      </c>
      <c r="B22" s="8">
        <f>B37-B13</f>
        <v>722.16553487095553</v>
      </c>
      <c r="C22" s="8"/>
      <c r="E22" s="8">
        <f>IFERROR(IF(E9=0,0,ROUND(IF(E9=0,"",($B$17/$B$9)*(E21/$B$21)),2)),"")</f>
        <v>779.62</v>
      </c>
      <c r="F22" s="8">
        <f>IFERROR(IF(F9=0,0,ROUND(IF(F9=0,"",($B$17/$B$9)*(F21/$B$21)),2)),"")</f>
        <v>224.62</v>
      </c>
      <c r="G22" s="8" t="str">
        <f t="shared" ref="G22:N22" si="2">IFERROR(IF(G9=0,0,ROUND(IF(G9=0,"",($B$17/$B$9)*(G21/$B$21)),2)),"")</f>
        <v/>
      </c>
      <c r="H22" s="8" t="str">
        <f t="shared" si="2"/>
        <v/>
      </c>
      <c r="I22" s="8" t="str">
        <f t="shared" si="2"/>
        <v/>
      </c>
      <c r="J22" s="8" t="str">
        <f t="shared" si="2"/>
        <v/>
      </c>
      <c r="K22" s="8" t="str">
        <f t="shared" si="2"/>
        <v/>
      </c>
      <c r="L22" s="8" t="str">
        <f t="shared" si="2"/>
        <v/>
      </c>
      <c r="M22" s="8" t="str">
        <f t="shared" si="2"/>
        <v/>
      </c>
      <c r="N22" s="8" t="str">
        <f t="shared" si="2"/>
        <v/>
      </c>
    </row>
    <row r="23" spans="1:14" x14ac:dyDescent="0.25">
      <c r="B23" s="8"/>
      <c r="C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t="s">
        <v>479</v>
      </c>
      <c r="B24" s="8">
        <f>VLOOKUP(B5,Inputs!A4:N181,14,FALSE)</f>
        <v>2508</v>
      </c>
      <c r="C24" s="8"/>
      <c r="E24" s="2">
        <f>IFERROR(VLOOKUP(E4,'CSI Counts'!$B$2:$O$51,13,FALSE),"")</f>
        <v>121</v>
      </c>
      <c r="F24" s="2">
        <f>IFERROR(VLOOKUP(F4,'CSI Counts'!$B$2:$O$51,13,FALSE),"")</f>
        <v>8</v>
      </c>
      <c r="G24" s="2" t="str">
        <f>IFERROR(VLOOKUP(G4,'CSI Counts'!$B$2:$O$51,13,FALSE),"")</f>
        <v/>
      </c>
      <c r="H24" s="2" t="str">
        <f>IFERROR(VLOOKUP(H4,'CSI Counts'!$B$2:$O$51,13,FALSE),"")</f>
        <v/>
      </c>
      <c r="I24" s="2" t="str">
        <f>IFERROR(VLOOKUP(I4,'CSI Counts'!$B$2:$O$51,13,FALSE),"")</f>
        <v/>
      </c>
      <c r="J24" s="2" t="str">
        <f>IFERROR(VLOOKUP(J4,'CSI Counts'!$B$2:$O$51,13,FALSE),"")</f>
        <v/>
      </c>
      <c r="K24" s="2" t="str">
        <f>IFERROR(VLOOKUP(K4,'CSI Counts'!$B$2:$O$51,13,FALSE),"")</f>
        <v/>
      </c>
      <c r="L24" s="2" t="str">
        <f>IFERROR(VLOOKUP(L4,'CSI Counts'!$B$2:$O$51,13,FALSE),"")</f>
        <v/>
      </c>
      <c r="M24" s="2" t="str">
        <f>IFERROR(VLOOKUP(M4,'CSI Counts'!$B$2:$O$51,13,FALSE),"")</f>
        <v/>
      </c>
      <c r="N24" s="2" t="str">
        <f>IFERROR(VLOOKUP(N4,'CSI Counts'!$B$2:$O$51,13,FALSE),"")</f>
        <v/>
      </c>
    </row>
    <row r="25" spans="1:14" x14ac:dyDescent="0.25">
      <c r="A25" t="s">
        <v>480</v>
      </c>
      <c r="B25" s="32">
        <f>B24/B11</f>
        <v>0.10859728506787331</v>
      </c>
      <c r="C25" s="8"/>
      <c r="E25" s="11">
        <f>IFERROR(E24/E20,0)</f>
        <v>0.19516129032258064</v>
      </c>
      <c r="F25" s="11">
        <f t="shared" ref="F25:N25" si="3">IFERROR(F24/F20,0)</f>
        <v>2.6229508196721311E-2</v>
      </c>
      <c r="G25" s="11">
        <f t="shared" si="3"/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</row>
    <row r="26" spans="1:14" x14ac:dyDescent="0.25">
      <c r="A26" s="26" t="s">
        <v>482</v>
      </c>
      <c r="B26" s="8">
        <f>VLOOKUP(B5,Inputs!A4:O183,15,FALSE)</f>
        <v>2096430.83</v>
      </c>
      <c r="C26" s="8"/>
      <c r="E26" s="8">
        <f>IFERROR(IF(E13=0,0,ROUND(IF(E13=0,"",($B$26/$B$9)*(E25/$B$25)),2)),"")</f>
        <v>156.78</v>
      </c>
      <c r="F26" s="8">
        <f t="shared" ref="F26:N26" si="4">IFERROR(IF(F13=0,0,ROUND(IF(F13=0,"",($B$26/$B$9)*(F25/$B$25)),2)),"")</f>
        <v>21.07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0</v>
      </c>
      <c r="K26" s="8">
        <f t="shared" si="4"/>
        <v>0</v>
      </c>
      <c r="L26" s="8">
        <f t="shared" si="4"/>
        <v>0</v>
      </c>
      <c r="M26" s="8">
        <f t="shared" si="4"/>
        <v>0</v>
      </c>
      <c r="N26" s="8">
        <f t="shared" si="4"/>
        <v>0</v>
      </c>
    </row>
    <row r="27" spans="1:14" x14ac:dyDescent="0.25">
      <c r="E27" s="8"/>
      <c r="F27" s="8"/>
    </row>
    <row r="28" spans="1:14" x14ac:dyDescent="0.25">
      <c r="A28" t="s">
        <v>9</v>
      </c>
      <c r="B28" s="8">
        <f>VLOOKUP(B5,Inputs!A3:M180,9,FALSE)</f>
        <v>268471199.26999998</v>
      </c>
      <c r="C28" s="8"/>
      <c r="E28" s="8"/>
      <c r="F28" s="8"/>
    </row>
    <row r="29" spans="1:14" x14ac:dyDescent="0.25">
      <c r="A29" t="s">
        <v>424</v>
      </c>
      <c r="B29" s="8">
        <f>VLOOKUP(B5,Inputs!A4:M181,10,FALSE)</f>
        <v>0</v>
      </c>
      <c r="C29" s="8">
        <f>ROUND(B29/B9,2)</f>
        <v>0</v>
      </c>
      <c r="E29" s="8"/>
      <c r="F29" s="8"/>
    </row>
    <row r="30" spans="1:14" x14ac:dyDescent="0.25">
      <c r="A30" t="s">
        <v>419</v>
      </c>
      <c r="B30" s="8">
        <f>VLOOKUP(B5,Inputs!A4:M181,12,FALSE)</f>
        <v>268471199.26999998</v>
      </c>
      <c r="C30" s="8"/>
      <c r="E30" s="8"/>
      <c r="F30" s="8"/>
    </row>
    <row r="31" spans="1:14" x14ac:dyDescent="0.25">
      <c r="C31" s="13" t="s">
        <v>421</v>
      </c>
      <c r="E31" s="8"/>
      <c r="F31" s="8"/>
    </row>
    <row r="32" spans="1:14" x14ac:dyDescent="0.25">
      <c r="A32" t="s">
        <v>6</v>
      </c>
      <c r="B32" s="8">
        <f>B30/B9</f>
        <v>11172.055598694997</v>
      </c>
      <c r="C32" s="8"/>
      <c r="E32" s="8"/>
      <c r="F32" s="8"/>
    </row>
    <row r="33" spans="1:17" x14ac:dyDescent="0.25">
      <c r="B33" s="8"/>
      <c r="C33" s="8"/>
      <c r="E33" s="8"/>
      <c r="F33" s="8"/>
    </row>
    <row r="34" spans="1:17" x14ac:dyDescent="0.25">
      <c r="A34" s="26" t="s">
        <v>483</v>
      </c>
      <c r="B34" s="8">
        <f>VLOOKUP(B5,Inputs!A4:M181,13,FALSE)</f>
        <v>10791.3</v>
      </c>
      <c r="C34" s="8"/>
      <c r="E34" s="8"/>
      <c r="F34" s="8"/>
    </row>
    <row r="35" spans="1:17" x14ac:dyDescent="0.25">
      <c r="A35" t="s">
        <v>16</v>
      </c>
      <c r="B35" s="8"/>
      <c r="C35" s="6"/>
      <c r="E35" s="8">
        <f>IFERROR(IF(E9=0,0,E$13+E$22+E$26+$C$29),"")</f>
        <v>11385.118247660001</v>
      </c>
      <c r="F35" s="8">
        <f t="shared" ref="F35:N35" si="5">IFERROR(IF(F9=0,0,F$13+F$22+F$26+$C$29),"")</f>
        <v>10694.40824766</v>
      </c>
      <c r="G35" s="8" t="str">
        <f t="shared" si="5"/>
        <v/>
      </c>
      <c r="H35" s="8" t="str">
        <f t="shared" si="5"/>
        <v/>
      </c>
      <c r="I35" s="8" t="str">
        <f t="shared" si="5"/>
        <v/>
      </c>
      <c r="J35" s="8" t="str">
        <f t="shared" si="5"/>
        <v/>
      </c>
      <c r="K35" s="8" t="str">
        <f t="shared" si="5"/>
        <v/>
      </c>
      <c r="L35" s="8" t="str">
        <f t="shared" si="5"/>
        <v/>
      </c>
      <c r="M35" s="8" t="str">
        <f t="shared" si="5"/>
        <v/>
      </c>
      <c r="N35" s="8" t="str">
        <f t="shared" si="5"/>
        <v/>
      </c>
    </row>
    <row r="36" spans="1:17" x14ac:dyDescent="0.25">
      <c r="A36" s="1" t="s">
        <v>422</v>
      </c>
      <c r="B36" s="8"/>
      <c r="C36" s="6"/>
      <c r="E36" s="8">
        <f>IF($B$34&gt;E35,$B$34,E35)</f>
        <v>11385.118247660001</v>
      </c>
      <c r="F36" s="8">
        <f t="shared" ref="F36:N36" si="6">IF($B$34&gt;F35,$B$34,F35)</f>
        <v>10791.3</v>
      </c>
      <c r="G36" s="8" t="str">
        <f t="shared" si="6"/>
        <v/>
      </c>
      <c r="H36" s="8" t="str">
        <f t="shared" si="6"/>
        <v/>
      </c>
      <c r="I36" s="8" t="str">
        <f t="shared" si="6"/>
        <v/>
      </c>
      <c r="J36" s="8" t="str">
        <f t="shared" si="6"/>
        <v/>
      </c>
      <c r="K36" s="8" t="str">
        <f t="shared" si="6"/>
        <v/>
      </c>
      <c r="L36" s="8" t="str">
        <f t="shared" si="6"/>
        <v/>
      </c>
      <c r="M36" s="8" t="str">
        <f t="shared" si="6"/>
        <v/>
      </c>
      <c r="N36" s="8" t="str">
        <f t="shared" si="6"/>
        <v/>
      </c>
    </row>
    <row r="37" spans="1:17" x14ac:dyDescent="0.25">
      <c r="A37" t="s">
        <v>5</v>
      </c>
      <c r="B37" s="8">
        <f>(B30-C39)/B11</f>
        <v>11170.883782530955</v>
      </c>
      <c r="C37" s="8"/>
      <c r="E37" s="8"/>
      <c r="F37" s="8"/>
    </row>
    <row r="38" spans="1:17" x14ac:dyDescent="0.25">
      <c r="E38" s="8"/>
      <c r="F38" s="8"/>
    </row>
    <row r="39" spans="1:17" x14ac:dyDescent="0.25">
      <c r="A39" t="s">
        <v>14</v>
      </c>
      <c r="C39" s="5">
        <f>SUM(E39:N39)</f>
        <v>10485223.754338829</v>
      </c>
      <c r="E39" s="8">
        <f t="shared" ref="E39:N39" si="7">IFERROR(E36*E9,"")</f>
        <v>7352509.3643388283</v>
      </c>
      <c r="F39" s="8">
        <f t="shared" si="7"/>
        <v>3132714.39</v>
      </c>
      <c r="G39" s="8" t="str">
        <f t="shared" si="7"/>
        <v/>
      </c>
      <c r="H39" s="8" t="str">
        <f t="shared" si="7"/>
        <v/>
      </c>
      <c r="I39" s="8" t="str">
        <f t="shared" si="7"/>
        <v/>
      </c>
      <c r="J39" s="8" t="str">
        <f t="shared" si="7"/>
        <v/>
      </c>
      <c r="K39" s="8" t="str">
        <f t="shared" si="7"/>
        <v/>
      </c>
      <c r="L39" s="8" t="str">
        <f t="shared" si="7"/>
        <v/>
      </c>
      <c r="M39" s="8" t="str">
        <f t="shared" si="7"/>
        <v/>
      </c>
      <c r="N39" s="8" t="str">
        <f t="shared" si="7"/>
        <v/>
      </c>
    </row>
    <row r="40" spans="1:17" x14ac:dyDescent="0.25">
      <c r="A40" t="s">
        <v>15</v>
      </c>
      <c r="C40" s="5">
        <f>SUM(E40:N40)</f>
        <v>10458161.245938387</v>
      </c>
      <c r="E40" s="8">
        <f t="shared" ref="E40:N40" si="8">IFERROR($B$32*E9,"")</f>
        <v>7214913.5056372285</v>
      </c>
      <c r="F40" s="8">
        <f t="shared" si="8"/>
        <v>3243247.7403011578</v>
      </c>
      <c r="G40" s="8" t="str">
        <f t="shared" si="8"/>
        <v/>
      </c>
      <c r="H40" s="8" t="str">
        <f t="shared" si="8"/>
        <v/>
      </c>
      <c r="I40" s="8" t="str">
        <f t="shared" si="8"/>
        <v/>
      </c>
      <c r="J40" s="8" t="str">
        <f t="shared" si="8"/>
        <v/>
      </c>
      <c r="K40" s="8" t="str">
        <f t="shared" si="8"/>
        <v/>
      </c>
      <c r="L40" s="8" t="str">
        <f t="shared" si="8"/>
        <v/>
      </c>
      <c r="M40" s="8" t="str">
        <f t="shared" si="8"/>
        <v/>
      </c>
      <c r="N40" s="8" t="str">
        <f t="shared" si="8"/>
        <v/>
      </c>
    </row>
    <row r="41" spans="1:17" x14ac:dyDescent="0.25">
      <c r="A41" t="s">
        <v>17</v>
      </c>
      <c r="B41" s="8"/>
      <c r="C41" s="5">
        <f>SUM(E41:N41)</f>
        <v>27062.508400442079</v>
      </c>
      <c r="E41" s="8">
        <f>IFERROR(E39-E40,"")</f>
        <v>137595.85870159976</v>
      </c>
      <c r="F41" s="8">
        <f>IFERROR(F39-F40,"")</f>
        <v>-110533.35030115768</v>
      </c>
      <c r="G41" s="8" t="str">
        <f t="shared" ref="G41:N41" si="9">IFERROR(G39-G40,"")</f>
        <v/>
      </c>
      <c r="H41" s="8" t="str">
        <f t="shared" si="9"/>
        <v/>
      </c>
      <c r="I41" s="8" t="str">
        <f t="shared" si="9"/>
        <v/>
      </c>
      <c r="J41" s="8" t="str">
        <f t="shared" si="9"/>
        <v/>
      </c>
      <c r="K41" s="8" t="str">
        <f t="shared" si="9"/>
        <v/>
      </c>
      <c r="L41" s="8" t="str">
        <f t="shared" si="9"/>
        <v/>
      </c>
      <c r="M41" s="8" t="str">
        <f t="shared" si="9"/>
        <v/>
      </c>
      <c r="N41" s="8" t="str">
        <f t="shared" si="9"/>
        <v/>
      </c>
      <c r="O41" s="8">
        <f>SUM(E41:N41)</f>
        <v>27062.508400442079</v>
      </c>
      <c r="P41">
        <v>12757.99</v>
      </c>
      <c r="Q41" s="8">
        <f>O41+P41</f>
        <v>39820.498400442077</v>
      </c>
    </row>
    <row r="42" spans="1:17" x14ac:dyDescent="0.25">
      <c r="A42" t="s">
        <v>8</v>
      </c>
      <c r="B42" s="8">
        <f>B28-C39+B29</f>
        <v>257985975.51566115</v>
      </c>
      <c r="C42" s="5">
        <f>SUM(E42:N42)</f>
        <v>10485223.754338829</v>
      </c>
      <c r="E42" s="8">
        <f t="shared" ref="E42:N42" si="10">IFERROR(E36*E9,"")</f>
        <v>7352509.3643388283</v>
      </c>
      <c r="F42" s="8">
        <f t="shared" si="10"/>
        <v>3132714.39</v>
      </c>
      <c r="G42" s="8" t="str">
        <f t="shared" si="10"/>
        <v/>
      </c>
      <c r="H42" s="8" t="str">
        <f t="shared" si="10"/>
        <v/>
      </c>
      <c r="I42" s="8" t="str">
        <f t="shared" si="10"/>
        <v/>
      </c>
      <c r="J42" s="8" t="str">
        <f t="shared" si="10"/>
        <v/>
      </c>
      <c r="K42" s="8" t="str">
        <f t="shared" si="10"/>
        <v/>
      </c>
      <c r="L42" s="8" t="str">
        <f t="shared" si="10"/>
        <v/>
      </c>
      <c r="M42" s="8" t="str">
        <f t="shared" si="10"/>
        <v/>
      </c>
      <c r="N42" s="8" t="str">
        <f t="shared" si="10"/>
        <v/>
      </c>
      <c r="O42" s="8">
        <f>O41/5</f>
        <v>5412.5016800884159</v>
      </c>
      <c r="P42" s="8">
        <f>P41/5</f>
        <v>2551.598</v>
      </c>
      <c r="Q42" s="8">
        <f>O42+P42</f>
        <v>7964.0996800884159</v>
      </c>
    </row>
    <row r="44" spans="1:17" x14ac:dyDescent="0.25">
      <c r="C44" s="5"/>
      <c r="E44" s="8">
        <f>IFERROR(ROUND(E41/6,2),"")</f>
        <v>22932.639999999999</v>
      </c>
      <c r="F44" s="8">
        <f t="shared" ref="F44:N44" si="11">IFERROR(ROUND(F41/6,2),"")</f>
        <v>-18422.23</v>
      </c>
      <c r="G44" s="8" t="str">
        <f t="shared" si="11"/>
        <v/>
      </c>
      <c r="H44" s="8" t="str">
        <f t="shared" si="11"/>
        <v/>
      </c>
      <c r="I44" s="8" t="str">
        <f t="shared" si="11"/>
        <v/>
      </c>
      <c r="J44" s="8" t="str">
        <f t="shared" si="11"/>
        <v/>
      </c>
      <c r="K44" s="8" t="str">
        <f t="shared" si="11"/>
        <v/>
      </c>
      <c r="L44" s="8" t="str">
        <f t="shared" si="11"/>
        <v/>
      </c>
      <c r="M44" s="8" t="str">
        <f t="shared" si="11"/>
        <v/>
      </c>
      <c r="N44" s="8" t="str">
        <f t="shared" si="11"/>
        <v/>
      </c>
      <c r="O44" s="8">
        <f>O42*5</f>
        <v>27062.508400442079</v>
      </c>
      <c r="P44" s="8">
        <f>P42*5</f>
        <v>12757.99</v>
      </c>
      <c r="Q44" s="8">
        <f>Q42*5</f>
        <v>39820.498400442077</v>
      </c>
    </row>
    <row r="45" spans="1:17" x14ac:dyDescent="0.25">
      <c r="O45" s="8"/>
    </row>
  </sheetData>
  <pageMargins left="0.5" right="0.5" top="0.75" bottom="0.75" header="0.25" footer="0.25"/>
  <pageSetup scale="5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5"/>
  <sheetViews>
    <sheetView tabSelected="1" zoomScale="85" workbookViewId="0">
      <selection activeCell="E5" sqref="E5"/>
    </sheetView>
  </sheetViews>
  <sheetFormatPr defaultRowHeight="12.5" x14ac:dyDescent="0.25"/>
  <cols>
    <col min="1" max="1" width="56.7265625" bestFit="1" customWidth="1"/>
    <col min="2" max="2" width="18.26953125" customWidth="1"/>
    <col min="3" max="3" width="13.81640625" customWidth="1"/>
    <col min="4" max="4" width="6" customWidth="1"/>
    <col min="5" max="6" width="14.26953125" bestFit="1" customWidth="1"/>
    <col min="7" max="7" width="14.453125" bestFit="1" customWidth="1"/>
    <col min="8" max="10" width="13.1796875" bestFit="1" customWidth="1"/>
    <col min="11" max="11" width="11.54296875" bestFit="1" customWidth="1"/>
    <col min="12" max="14" width="13.1796875" bestFit="1" customWidth="1"/>
    <col min="15" max="15" width="12.26953125" bestFit="1" customWidth="1"/>
    <col min="16" max="16" width="10.54296875" bestFit="1" customWidth="1"/>
    <col min="17" max="17" width="11.54296875" bestFit="1" customWidth="1"/>
  </cols>
  <sheetData>
    <row r="1" spans="1:14" ht="13" x14ac:dyDescent="0.3">
      <c r="A1" s="16" t="s">
        <v>416</v>
      </c>
    </row>
    <row r="2" spans="1:14" x14ac:dyDescent="0.25">
      <c r="A2" t="s">
        <v>417</v>
      </c>
    </row>
    <row r="3" spans="1:14" x14ac:dyDescent="0.25">
      <c r="A3" t="s">
        <v>418</v>
      </c>
    </row>
    <row r="4" spans="1:14" x14ac:dyDescent="0.25">
      <c r="E4" s="20"/>
      <c r="F4" s="17"/>
      <c r="G4" s="17"/>
      <c r="H4" s="18"/>
      <c r="I4" s="18"/>
      <c r="J4" s="18"/>
      <c r="K4" s="18"/>
      <c r="L4" s="18"/>
      <c r="M4" s="18"/>
      <c r="N4" s="18"/>
    </row>
    <row r="5" spans="1:14" ht="27.75" customHeight="1" x14ac:dyDescent="0.35">
      <c r="A5" s="12" t="s">
        <v>0</v>
      </c>
      <c r="B5" s="30"/>
      <c r="E5" s="19" t="str">
        <f>IFERROR(VLOOKUP(E4,'CSI Counts'!$R$2:$S$47,2,FALSE),"")</f>
        <v/>
      </c>
      <c r="F5" s="19" t="str">
        <f>IFERROR(VLOOKUP(F4,'CSI Counts'!$R$2:$S$47,2,FALSE),"")</f>
        <v/>
      </c>
      <c r="G5" s="19" t="str">
        <f>IFERROR(VLOOKUP(G4,'CSI Counts'!$R$2:$S$47,2,FALSE),"")</f>
        <v/>
      </c>
      <c r="H5" s="19" t="str">
        <f>IFERROR(VLOOKUP(H4,'CSI Counts'!$R$2:$S$47,2,FALSE),"")</f>
        <v/>
      </c>
      <c r="I5" s="19" t="str">
        <f>IFERROR(VLOOKUP(I4,'CSI Counts'!$R$2:$S$47,2,FALSE),"")</f>
        <v/>
      </c>
      <c r="J5" s="19" t="str">
        <f>IFERROR(VLOOKUP(J4,'CSI Counts'!$R$2:$S$47,2,FALSE),"")</f>
        <v/>
      </c>
      <c r="K5" s="19" t="str">
        <f>IFERROR(VLOOKUP(K4,'CSI Counts'!$R$2:$S$47,2,FALSE),"")</f>
        <v/>
      </c>
      <c r="L5" s="19" t="str">
        <f>IFERROR(VLOOKUP(L4,'CSI Counts'!$R$2:$S$47,2,FALSE),"")</f>
        <v/>
      </c>
      <c r="M5" s="19" t="str">
        <f>IFERROR(VLOOKUP(M4,'CSI Counts'!$R$2:$S$47,2,FALSE),"")</f>
        <v/>
      </c>
      <c r="N5" s="19" t="str">
        <f>IFERROR(VLOOKUP(N4,'CSI Counts'!$R$2:$S$47,2,FALSE),"")</f>
        <v/>
      </c>
    </row>
    <row r="6" spans="1:14" ht="17.25" customHeight="1" x14ac:dyDescent="0.25">
      <c r="A6" t="s">
        <v>415</v>
      </c>
      <c r="B6" s="3" t="e">
        <f>VLOOKUP(B5,Inputs,3,3)</f>
        <v>#N/A</v>
      </c>
    </row>
    <row r="7" spans="1:14" ht="25" x14ac:dyDescent="0.25">
      <c r="A7" t="s">
        <v>19</v>
      </c>
      <c r="B7" s="3" t="s">
        <v>1</v>
      </c>
      <c r="C7" s="4" t="s">
        <v>412</v>
      </c>
      <c r="D7" s="4"/>
      <c r="E7" s="14" t="s">
        <v>423</v>
      </c>
      <c r="F7" s="15" t="s">
        <v>423</v>
      </c>
      <c r="G7" s="15" t="s">
        <v>423</v>
      </c>
      <c r="H7" s="15" t="s">
        <v>423</v>
      </c>
      <c r="I7" s="15" t="s">
        <v>423</v>
      </c>
      <c r="J7" s="15" t="s">
        <v>423</v>
      </c>
      <c r="K7" s="15" t="s">
        <v>423</v>
      </c>
      <c r="L7" s="15" t="s">
        <v>423</v>
      </c>
      <c r="M7" s="15" t="s">
        <v>423</v>
      </c>
      <c r="N7" s="15" t="s">
        <v>423</v>
      </c>
    </row>
    <row r="9" spans="1:14" x14ac:dyDescent="0.25">
      <c r="A9" t="s">
        <v>3</v>
      </c>
      <c r="B9" s="6" t="e">
        <f>VLOOKUP(B5,Inputs,4,3)</f>
        <v>#N/A</v>
      </c>
      <c r="C9" s="6">
        <f>SUM(E9:N9)</f>
        <v>0</v>
      </c>
      <c r="E9" s="2" t="str">
        <f>IFERROR(VLOOKUP(E4,'CSI Counts'!$B$2:$N$51,12,FALSE),"")</f>
        <v/>
      </c>
      <c r="F9" s="2" t="str">
        <f>IFERROR(VLOOKUP(F4,'CSI Counts'!$B$2:$N$51,12,FALSE),"")</f>
        <v/>
      </c>
      <c r="G9" s="2" t="str">
        <f>IFERROR(VLOOKUP(G4,'CSI Counts'!$B$2:$N$51,12,FALSE),"")</f>
        <v/>
      </c>
      <c r="H9" s="2" t="str">
        <f>IFERROR(VLOOKUP(H4,'CSI Counts'!$B$2:$N$51,12,FALSE),"")</f>
        <v/>
      </c>
      <c r="I9" s="2" t="str">
        <f>IFERROR(VLOOKUP(I4,'CSI Counts'!$B$2:$N$51,12,FALSE),"")</f>
        <v/>
      </c>
      <c r="J9" s="2" t="str">
        <f>IFERROR(VLOOKUP(J4,'CSI Counts'!$B$2:$N$51,12,FALSE),"")</f>
        <v/>
      </c>
      <c r="K9" s="2" t="str">
        <f>IFERROR(VLOOKUP(K4,'CSI Counts'!$B$2:$N$51,12,FALSE),"")</f>
        <v/>
      </c>
      <c r="L9" s="2" t="str">
        <f>IFERROR(VLOOKUP(L4,'CSI Counts'!$B$2:$N$51,12,FALSE),"")</f>
        <v/>
      </c>
      <c r="M9" s="2" t="str">
        <f>IFERROR(VLOOKUP(M4,'CSI Counts'!$B$2:$N$51,12,FALSE),"")</f>
        <v/>
      </c>
      <c r="N9" s="2" t="str">
        <f>IFERROR(VLOOKUP(N4,'CSI Counts'!$B$2:$N$51,12,FALSE),"")</f>
        <v/>
      </c>
    </row>
    <row r="10" spans="1:14" x14ac:dyDescent="0.25">
      <c r="A10" t="s">
        <v>10</v>
      </c>
      <c r="B10" s="7">
        <f>-C9</f>
        <v>0</v>
      </c>
      <c r="C10" s="7"/>
    </row>
    <row r="11" spans="1:14" x14ac:dyDescent="0.25">
      <c r="A11" t="s">
        <v>11</v>
      </c>
      <c r="B11" s="7" t="e">
        <f>B9+B10</f>
        <v>#N/A</v>
      </c>
      <c r="C11" s="7"/>
    </row>
    <row r="12" spans="1:14" x14ac:dyDescent="0.25">
      <c r="B12" s="7"/>
      <c r="C12" s="7"/>
    </row>
    <row r="13" spans="1:14" x14ac:dyDescent="0.25">
      <c r="A13" s="1" t="s">
        <v>13</v>
      </c>
      <c r="B13" s="8" t="e">
        <f>VLOOKUP(B5,Inputs,6,3)</f>
        <v>#N/A</v>
      </c>
      <c r="C13" s="8" t="e">
        <f>B13</f>
        <v>#N/A</v>
      </c>
      <c r="E13" s="8" t="e">
        <f>$B$13</f>
        <v>#N/A</v>
      </c>
      <c r="F13" s="8" t="e">
        <f t="shared" ref="F13:N13" si="0">$B$13</f>
        <v>#N/A</v>
      </c>
      <c r="G13" s="8" t="e">
        <f t="shared" si="0"/>
        <v>#N/A</v>
      </c>
      <c r="H13" s="8" t="e">
        <f t="shared" si="0"/>
        <v>#N/A</v>
      </c>
      <c r="I13" s="8" t="e">
        <f t="shared" si="0"/>
        <v>#N/A</v>
      </c>
      <c r="J13" s="8" t="e">
        <f t="shared" si="0"/>
        <v>#N/A</v>
      </c>
      <c r="K13" s="8" t="e">
        <f t="shared" si="0"/>
        <v>#N/A</v>
      </c>
      <c r="L13" s="8" t="e">
        <f t="shared" si="0"/>
        <v>#N/A</v>
      </c>
      <c r="M13" s="8" t="e">
        <f t="shared" si="0"/>
        <v>#N/A</v>
      </c>
      <c r="N13" s="8" t="e">
        <f t="shared" si="0"/>
        <v>#N/A</v>
      </c>
    </row>
    <row r="15" spans="1:14" x14ac:dyDescent="0.25">
      <c r="A15" t="s">
        <v>2</v>
      </c>
      <c r="B15" s="6" t="e">
        <f>VLOOKUP(B5,Inputs,5,3)</f>
        <v>#N/A</v>
      </c>
      <c r="C15" s="6">
        <f>SUM(E15:N15)</f>
        <v>0</v>
      </c>
      <c r="E15" s="2" t="str">
        <f>IFERROR(VLOOKUP(E4,'CSI Counts'!$B$2:$P$51,14,FALSE),"")</f>
        <v/>
      </c>
      <c r="F15" s="2" t="str">
        <f>IFERROR(VLOOKUP(F4,'CSI Counts'!$B$2:$P$51,14,FALSE),"")</f>
        <v/>
      </c>
      <c r="G15" s="2" t="str">
        <f>IFERROR(VLOOKUP(G4,'CSI Counts'!$B$2:$P$51,14,FALSE),"")</f>
        <v/>
      </c>
      <c r="H15" s="2" t="str">
        <f>IFERROR(VLOOKUP(H4,'CSI Counts'!$B$2:$P$51,14,FALSE),"")</f>
        <v/>
      </c>
      <c r="I15" s="2" t="str">
        <f>IFERROR(VLOOKUP(I4,'CSI Counts'!$B$2:$P$51,14,FALSE),"")</f>
        <v/>
      </c>
      <c r="J15" s="2" t="str">
        <f>IFERROR(VLOOKUP(J4,'CSI Counts'!$B$2:$P$51,14,FALSE),"")</f>
        <v/>
      </c>
      <c r="K15" s="2" t="str">
        <f>IFERROR(VLOOKUP(K4,'CSI Counts'!$B$2:$P$51,14,FALSE),"")</f>
        <v/>
      </c>
      <c r="L15" s="2" t="str">
        <f>IFERROR(VLOOKUP(L4,'CSI Counts'!$B$2:$P$51,14,FALSE),"")</f>
        <v/>
      </c>
      <c r="M15" s="2" t="str">
        <f>IFERROR(VLOOKUP(M4,'CSI Counts'!$B$2:$P$51,14,FALSE),"")</f>
        <v/>
      </c>
      <c r="N15" s="2" t="str">
        <f>IFERROR(VLOOKUP(N4,'CSI Counts'!$B$2:$P$51,14,FALSE),"")</f>
        <v/>
      </c>
    </row>
    <row r="16" spans="1:14" x14ac:dyDescent="0.25">
      <c r="A16" s="1"/>
      <c r="B16" s="9"/>
      <c r="C16" s="9"/>
    </row>
    <row r="17" spans="1:14" x14ac:dyDescent="0.25">
      <c r="A17" s="1" t="s">
        <v>7</v>
      </c>
      <c r="B17" s="8" t="e">
        <f>VLOOKUP(B5,Inputs,7,3)</f>
        <v>#N/A</v>
      </c>
      <c r="C17" s="8"/>
    </row>
    <row r="18" spans="1:14" x14ac:dyDescent="0.25">
      <c r="A18" t="s">
        <v>12</v>
      </c>
      <c r="B18" t="e">
        <f>ROUND(B17/B9,2)</f>
        <v>#N/A</v>
      </c>
    </row>
    <row r="20" spans="1:14" x14ac:dyDescent="0.25">
      <c r="A20" t="s">
        <v>4</v>
      </c>
      <c r="B20" s="10" t="e">
        <f>VLOOKUP(B5,Inputs,8,3)</f>
        <v>#N/A</v>
      </c>
      <c r="C20" s="6">
        <f>SUM(E20:N20)</f>
        <v>0</v>
      </c>
      <c r="E20" s="2" t="str">
        <f>IFERROR(VLOOKUP(E4,'CSI Counts'!$B$2:$M$51,11,FALSE),"")</f>
        <v/>
      </c>
      <c r="F20" s="2" t="str">
        <f>IFERROR(VLOOKUP(F4,'CSI Counts'!$B$2:$M$51,11,FALSE),"")</f>
        <v/>
      </c>
      <c r="G20" s="2" t="str">
        <f>IFERROR(VLOOKUP(G4,'CSI Counts'!$B$2:$M$51,11,FALSE),"")</f>
        <v/>
      </c>
      <c r="H20" s="2" t="str">
        <f>IFERROR(VLOOKUP(H4,'CSI Counts'!$B$2:$M$51,11,FALSE),"")</f>
        <v/>
      </c>
      <c r="I20" s="2" t="str">
        <f>IFERROR(VLOOKUP(I4,'CSI Counts'!$B$2:$M$51,11,FALSE),"")</f>
        <v/>
      </c>
      <c r="J20" s="2" t="str">
        <f>IFERROR(VLOOKUP(J4,'CSI Counts'!$B$2:$M$51,11,FALSE),"")</f>
        <v/>
      </c>
      <c r="K20" s="2" t="str">
        <f>IFERROR(VLOOKUP(K4,'CSI Counts'!$B$2:$M$51,11,FALSE),"")</f>
        <v/>
      </c>
      <c r="L20" s="2" t="str">
        <f>IFERROR(VLOOKUP(L4,'CSI Counts'!$B$2:$M$51,11,FALSE),"")</f>
        <v/>
      </c>
      <c r="M20" s="2" t="str">
        <f>IFERROR(VLOOKUP(M4,'CSI Counts'!$B$2:$M$51,11,FALSE),"")</f>
        <v/>
      </c>
      <c r="N20" s="2" t="str">
        <f>IFERROR(VLOOKUP(N4,'CSI Counts'!$B$2:$M$51,11,FALSE),"")</f>
        <v/>
      </c>
    </row>
    <row r="21" spans="1:14" ht="25" x14ac:dyDescent="0.25">
      <c r="A21" s="1" t="s">
        <v>20</v>
      </c>
      <c r="B21" s="11" t="e">
        <f>ROUND(B15/B20,4)</f>
        <v>#N/A</v>
      </c>
      <c r="C21" s="11"/>
      <c r="E21" s="11" t="str">
        <f>IFERROR(E15/E20,"")</f>
        <v/>
      </c>
      <c r="F21" s="11" t="str">
        <f>IFERROR(F15/F20,"")</f>
        <v/>
      </c>
      <c r="G21" s="11" t="str">
        <f t="shared" ref="G21:N21" si="1">IFERROR(G15/G20,"")</f>
        <v/>
      </c>
      <c r="H21" s="11" t="str">
        <f t="shared" si="1"/>
        <v/>
      </c>
      <c r="I21" s="11" t="str">
        <f t="shared" si="1"/>
        <v/>
      </c>
      <c r="J21" s="11" t="str">
        <f t="shared" si="1"/>
        <v/>
      </c>
      <c r="K21" s="11" t="str">
        <f t="shared" si="1"/>
        <v/>
      </c>
      <c r="L21" s="11" t="str">
        <f t="shared" si="1"/>
        <v/>
      </c>
      <c r="M21" s="11" t="str">
        <f t="shared" si="1"/>
        <v/>
      </c>
      <c r="N21" s="11" t="str">
        <f t="shared" si="1"/>
        <v/>
      </c>
    </row>
    <row r="22" spans="1:14" x14ac:dyDescent="0.25">
      <c r="A22" t="s">
        <v>18</v>
      </c>
      <c r="B22" s="8" t="e">
        <f>B37-B13</f>
        <v>#N/A</v>
      </c>
      <c r="C22" s="8"/>
      <c r="E22" s="8" t="str">
        <f>IFERROR(IF(E9=0,0,ROUND(IF(E9=0,"",($B$17/$B$9)*(E21/$B$21)),2)),"")</f>
        <v/>
      </c>
      <c r="F22" s="8" t="str">
        <f>IFERROR(IF(F9=0,0,ROUND(IF(F9=0,"",($B$17/$B$9)*(F21/$B$21)),2)),"")</f>
        <v/>
      </c>
      <c r="G22" s="8" t="str">
        <f t="shared" ref="G22:N22" si="2">IFERROR(IF(G9=0,0,ROUND(IF(G9=0,"",($B$17/$B$9)*(G21/$B$21)),2)),"")</f>
        <v/>
      </c>
      <c r="H22" s="8" t="str">
        <f t="shared" si="2"/>
        <v/>
      </c>
      <c r="I22" s="8" t="str">
        <f t="shared" si="2"/>
        <v/>
      </c>
      <c r="J22" s="8" t="str">
        <f t="shared" si="2"/>
        <v/>
      </c>
      <c r="K22" s="8" t="str">
        <f t="shared" si="2"/>
        <v/>
      </c>
      <c r="L22" s="8" t="str">
        <f t="shared" si="2"/>
        <v/>
      </c>
      <c r="M22" s="8" t="str">
        <f t="shared" si="2"/>
        <v/>
      </c>
      <c r="N22" s="8" t="str">
        <f t="shared" si="2"/>
        <v/>
      </c>
    </row>
    <row r="23" spans="1:14" x14ac:dyDescent="0.25">
      <c r="B23" s="8"/>
      <c r="C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t="s">
        <v>479</v>
      </c>
      <c r="B24" s="8" t="e">
        <f>VLOOKUP(B5,Inputs!A4:N181,14,FALSE)</f>
        <v>#N/A</v>
      </c>
      <c r="C24" s="8"/>
      <c r="E24" s="2" t="str">
        <f>IFERROR(VLOOKUP(E4,'CSI Counts'!$B$2:$O$51,13,FALSE),"")</f>
        <v/>
      </c>
      <c r="F24" s="2" t="str">
        <f>IFERROR(VLOOKUP(F4,'CSI Counts'!$B$2:$O$51,13,FALSE),"")</f>
        <v/>
      </c>
      <c r="G24" s="2" t="str">
        <f>IFERROR(VLOOKUP(G4,'CSI Counts'!$B$2:$O$51,13,FALSE),"")</f>
        <v/>
      </c>
      <c r="H24" s="2" t="str">
        <f>IFERROR(VLOOKUP(H4,'CSI Counts'!$B$2:$O$51,13,FALSE),"")</f>
        <v/>
      </c>
      <c r="I24" s="2" t="str">
        <f>IFERROR(VLOOKUP(I4,'CSI Counts'!$B$2:$O$51,13,FALSE),"")</f>
        <v/>
      </c>
      <c r="J24" s="2" t="str">
        <f>IFERROR(VLOOKUP(J4,'CSI Counts'!$B$2:$O$51,13,FALSE),"")</f>
        <v/>
      </c>
      <c r="K24" s="2" t="str">
        <f>IFERROR(VLOOKUP(K4,'CSI Counts'!$B$2:$O$51,13,FALSE),"")</f>
        <v/>
      </c>
      <c r="L24" s="2" t="str">
        <f>IFERROR(VLOOKUP(L4,'CSI Counts'!$B$2:$O$51,13,FALSE),"")</f>
        <v/>
      </c>
      <c r="M24" s="2" t="str">
        <f>IFERROR(VLOOKUP(M4,'CSI Counts'!$B$2:$O$51,13,FALSE),"")</f>
        <v/>
      </c>
      <c r="N24" s="2" t="str">
        <f>IFERROR(VLOOKUP(N4,'CSI Counts'!$B$2:$O$51,13,FALSE),"")</f>
        <v/>
      </c>
    </row>
    <row r="25" spans="1:14" x14ac:dyDescent="0.25">
      <c r="A25" t="s">
        <v>480</v>
      </c>
      <c r="B25" s="32" t="e">
        <f>B24/B11</f>
        <v>#N/A</v>
      </c>
      <c r="C25" s="8"/>
      <c r="E25" s="11">
        <f>IFERROR(E24/E20,0)</f>
        <v>0</v>
      </c>
      <c r="F25" s="11">
        <f t="shared" ref="F25:N25" si="3">IFERROR(F24/F20,0)</f>
        <v>0</v>
      </c>
      <c r="G25" s="11">
        <f t="shared" si="3"/>
        <v>0</v>
      </c>
      <c r="H25" s="11">
        <f t="shared" si="3"/>
        <v>0</v>
      </c>
      <c r="I25" s="11">
        <f t="shared" si="3"/>
        <v>0</v>
      </c>
      <c r="J25" s="11">
        <f t="shared" si="3"/>
        <v>0</v>
      </c>
      <c r="K25" s="11">
        <f t="shared" si="3"/>
        <v>0</v>
      </c>
      <c r="L25" s="11">
        <f t="shared" si="3"/>
        <v>0</v>
      </c>
      <c r="M25" s="11">
        <f t="shared" si="3"/>
        <v>0</v>
      </c>
      <c r="N25" s="11">
        <f t="shared" si="3"/>
        <v>0</v>
      </c>
    </row>
    <row r="26" spans="1:14" x14ac:dyDescent="0.25">
      <c r="A26" s="26" t="s">
        <v>482</v>
      </c>
      <c r="B26" s="8" t="e">
        <f>VLOOKUP(B5,Inputs!A4:O183,15,FALSE)</f>
        <v>#N/A</v>
      </c>
      <c r="C26" s="8"/>
      <c r="E26" s="8" t="str">
        <f>IFERROR(IF(E13=0,0,ROUND(IF(E13=0,"",($B$26/$B$9)*(E25/$B$25)),2)),"")</f>
        <v/>
      </c>
      <c r="F26" s="8" t="str">
        <f t="shared" ref="F26:N26" si="4">IFERROR(IF(F13=0,0,ROUND(IF(F13=0,"",($B$26/$B$9)*(F25/$B$25)),2)),"")</f>
        <v/>
      </c>
      <c r="G26" s="8" t="str">
        <f t="shared" si="4"/>
        <v/>
      </c>
      <c r="H26" s="8" t="str">
        <f t="shared" si="4"/>
        <v/>
      </c>
      <c r="I26" s="8" t="str">
        <f t="shared" si="4"/>
        <v/>
      </c>
      <c r="J26" s="8" t="str">
        <f t="shared" si="4"/>
        <v/>
      </c>
      <c r="K26" s="8" t="str">
        <f t="shared" si="4"/>
        <v/>
      </c>
      <c r="L26" s="8" t="str">
        <f t="shared" si="4"/>
        <v/>
      </c>
      <c r="M26" s="8" t="str">
        <f t="shared" si="4"/>
        <v/>
      </c>
      <c r="N26" s="8" t="str">
        <f t="shared" si="4"/>
        <v/>
      </c>
    </row>
    <row r="27" spans="1:14" x14ac:dyDescent="0.25">
      <c r="E27" s="8"/>
      <c r="F27" s="8"/>
    </row>
    <row r="28" spans="1:14" x14ac:dyDescent="0.25">
      <c r="A28" t="s">
        <v>9</v>
      </c>
      <c r="B28" s="8" t="e">
        <f>VLOOKUP(B5,Inputs!A3:M180,9,FALSE)</f>
        <v>#N/A</v>
      </c>
      <c r="C28" s="8"/>
      <c r="E28" s="8"/>
      <c r="F28" s="8"/>
    </row>
    <row r="29" spans="1:14" x14ac:dyDescent="0.25">
      <c r="A29" t="s">
        <v>424</v>
      </c>
      <c r="B29" s="8" t="e">
        <f>VLOOKUP(B5,Inputs!A4:M181,10,FALSE)</f>
        <v>#N/A</v>
      </c>
      <c r="C29" s="8" t="e">
        <f>ROUND(B29/B9,2)</f>
        <v>#N/A</v>
      </c>
      <c r="E29" s="8"/>
      <c r="F29" s="8"/>
    </row>
    <row r="30" spans="1:14" x14ac:dyDescent="0.25">
      <c r="A30" t="s">
        <v>419</v>
      </c>
      <c r="B30" s="8" t="e">
        <f>VLOOKUP(B5,Inputs!A4:M181,12,FALSE)</f>
        <v>#N/A</v>
      </c>
      <c r="C30" s="8"/>
      <c r="E30" s="8"/>
      <c r="F30" s="8"/>
    </row>
    <row r="31" spans="1:14" x14ac:dyDescent="0.25">
      <c r="C31" s="13" t="s">
        <v>421</v>
      </c>
      <c r="E31" s="8"/>
      <c r="F31" s="8"/>
    </row>
    <row r="32" spans="1:14" x14ac:dyDescent="0.25">
      <c r="A32" t="s">
        <v>6</v>
      </c>
      <c r="B32" s="8" t="e">
        <f>B30/B9</f>
        <v>#N/A</v>
      </c>
      <c r="C32" s="8"/>
      <c r="E32" s="8"/>
      <c r="F32" s="8"/>
    </row>
    <row r="33" spans="1:17" x14ac:dyDescent="0.25">
      <c r="B33" s="8"/>
      <c r="C33" s="8"/>
      <c r="E33" s="8"/>
      <c r="F33" s="8"/>
    </row>
    <row r="34" spans="1:17" x14ac:dyDescent="0.25">
      <c r="A34" s="26" t="s">
        <v>483</v>
      </c>
      <c r="B34" s="8" t="e">
        <f>VLOOKUP(B5,Inputs!A4:M181,13,FALSE)</f>
        <v>#N/A</v>
      </c>
      <c r="C34" s="8"/>
      <c r="E34" s="8"/>
      <c r="F34" s="8"/>
    </row>
    <row r="35" spans="1:17" x14ac:dyDescent="0.25">
      <c r="A35" t="s">
        <v>16</v>
      </c>
      <c r="B35" s="8"/>
      <c r="C35" s="6"/>
      <c r="E35" s="8" t="str">
        <f>IFERROR(IF(E9=0,0,E$13+E$22+E$26+$C$29),"")</f>
        <v/>
      </c>
      <c r="F35" s="8" t="str">
        <f t="shared" ref="F35:G35" si="5">IFERROR(IF(F9=0,0,F$13+F$22+F$26+$C$29),"")</f>
        <v/>
      </c>
      <c r="G35" s="8" t="str">
        <f t="shared" si="5"/>
        <v/>
      </c>
      <c r="H35" s="8" t="str">
        <f t="shared" ref="H35:N35" si="6">IFERROR(IF(H9=0,0,H$13+H$22+H$26+$C$29),"")</f>
        <v/>
      </c>
      <c r="I35" s="8" t="str">
        <f t="shared" si="6"/>
        <v/>
      </c>
      <c r="J35" s="8" t="str">
        <f t="shared" si="6"/>
        <v/>
      </c>
      <c r="K35" s="8" t="str">
        <f t="shared" si="6"/>
        <v/>
      </c>
      <c r="L35" s="8" t="str">
        <f t="shared" si="6"/>
        <v/>
      </c>
      <c r="M35" s="8" t="str">
        <f t="shared" si="6"/>
        <v/>
      </c>
      <c r="N35" s="8" t="str">
        <f t="shared" si="6"/>
        <v/>
      </c>
    </row>
    <row r="36" spans="1:17" x14ac:dyDescent="0.25">
      <c r="A36" s="1" t="s">
        <v>422</v>
      </c>
      <c r="B36" s="8"/>
      <c r="C36" s="6"/>
      <c r="E36" s="8" t="e">
        <f>IF($B$34&gt;E35,$B$34,E35)</f>
        <v>#N/A</v>
      </c>
      <c r="F36" s="8" t="e">
        <f t="shared" ref="F36:G36" si="7">IF($B$34&gt;F35,$B$34,F35)</f>
        <v>#N/A</v>
      </c>
      <c r="G36" s="8" t="e">
        <f t="shared" si="7"/>
        <v>#N/A</v>
      </c>
      <c r="H36" s="8" t="e">
        <f t="shared" ref="H36:N36" si="8">IF($B$34&gt;H35,$B$34,H35)</f>
        <v>#N/A</v>
      </c>
      <c r="I36" s="8" t="e">
        <f t="shared" si="8"/>
        <v>#N/A</v>
      </c>
      <c r="J36" s="8" t="e">
        <f t="shared" si="8"/>
        <v>#N/A</v>
      </c>
      <c r="K36" s="8" t="e">
        <f t="shared" si="8"/>
        <v>#N/A</v>
      </c>
      <c r="L36" s="8" t="e">
        <f t="shared" si="8"/>
        <v>#N/A</v>
      </c>
      <c r="M36" s="8" t="e">
        <f t="shared" si="8"/>
        <v>#N/A</v>
      </c>
      <c r="N36" s="8" t="e">
        <f t="shared" si="8"/>
        <v>#N/A</v>
      </c>
    </row>
    <row r="37" spans="1:17" x14ac:dyDescent="0.25">
      <c r="A37" t="s">
        <v>5</v>
      </c>
      <c r="B37" s="8" t="e">
        <f>(B30-C39)/B11</f>
        <v>#N/A</v>
      </c>
      <c r="C37" s="8"/>
      <c r="E37" s="8"/>
      <c r="F37" s="8"/>
    </row>
    <row r="38" spans="1:17" x14ac:dyDescent="0.25">
      <c r="E38" s="8"/>
      <c r="F38" s="8"/>
    </row>
    <row r="39" spans="1:17" x14ac:dyDescent="0.25">
      <c r="A39" t="s">
        <v>14</v>
      </c>
      <c r="C39" s="5">
        <f>SUM(E39:N39)</f>
        <v>0</v>
      </c>
      <c r="E39" s="8" t="str">
        <f t="shared" ref="E39:G39" si="9">IFERROR(E36*E9,"")</f>
        <v/>
      </c>
      <c r="F39" s="8" t="str">
        <f t="shared" si="9"/>
        <v/>
      </c>
      <c r="G39" s="8" t="str">
        <f t="shared" si="9"/>
        <v/>
      </c>
      <c r="H39" s="8" t="str">
        <f t="shared" ref="H39:N39" si="10">IFERROR(H36*H9,"")</f>
        <v/>
      </c>
      <c r="I39" s="8" t="str">
        <f t="shared" si="10"/>
        <v/>
      </c>
      <c r="J39" s="8" t="str">
        <f t="shared" si="10"/>
        <v/>
      </c>
      <c r="K39" s="8" t="str">
        <f t="shared" si="10"/>
        <v/>
      </c>
      <c r="L39" s="8" t="str">
        <f t="shared" si="10"/>
        <v/>
      </c>
      <c r="M39" s="8" t="str">
        <f t="shared" si="10"/>
        <v/>
      </c>
      <c r="N39" s="8" t="str">
        <f t="shared" si="10"/>
        <v/>
      </c>
    </row>
    <row r="40" spans="1:17" x14ac:dyDescent="0.25">
      <c r="A40" t="s">
        <v>15</v>
      </c>
      <c r="C40" s="5">
        <f>SUM(E40:N40)</f>
        <v>0</v>
      </c>
      <c r="E40" s="8" t="str">
        <f t="shared" ref="E40:G40" si="11">IFERROR($B$32*E9,"")</f>
        <v/>
      </c>
      <c r="F40" s="8" t="str">
        <f t="shared" si="11"/>
        <v/>
      </c>
      <c r="G40" s="8" t="str">
        <f t="shared" si="11"/>
        <v/>
      </c>
      <c r="H40" s="8" t="str">
        <f t="shared" ref="H40:N40" si="12">IFERROR($B$32*H9,"")</f>
        <v/>
      </c>
      <c r="I40" s="8" t="str">
        <f t="shared" si="12"/>
        <v/>
      </c>
      <c r="J40" s="8" t="str">
        <f t="shared" si="12"/>
        <v/>
      </c>
      <c r="K40" s="8" t="str">
        <f t="shared" si="12"/>
        <v/>
      </c>
      <c r="L40" s="8" t="str">
        <f t="shared" si="12"/>
        <v/>
      </c>
      <c r="M40" s="8" t="str">
        <f t="shared" si="12"/>
        <v/>
      </c>
      <c r="N40" s="8" t="str">
        <f t="shared" si="12"/>
        <v/>
      </c>
    </row>
    <row r="41" spans="1:17" x14ac:dyDescent="0.25">
      <c r="A41" t="s">
        <v>17</v>
      </c>
      <c r="B41" s="8"/>
      <c r="C41" s="5">
        <f>SUM(E41:N41)</f>
        <v>0</v>
      </c>
      <c r="E41" s="8" t="str">
        <f>IFERROR(E39-E40,"")</f>
        <v/>
      </c>
      <c r="F41" s="8" t="str">
        <f>IFERROR(F39-F40,"")</f>
        <v/>
      </c>
      <c r="G41" s="8" t="str">
        <f t="shared" ref="G41" si="13">IFERROR(G39-G40,"")</f>
        <v/>
      </c>
      <c r="H41" s="8" t="str">
        <f t="shared" ref="H41:N41" si="14">IFERROR(H39-H40,"")</f>
        <v/>
      </c>
      <c r="I41" s="8" t="str">
        <f t="shared" si="14"/>
        <v/>
      </c>
      <c r="J41" s="8" t="str">
        <f t="shared" si="14"/>
        <v/>
      </c>
      <c r="K41" s="8" t="str">
        <f t="shared" si="14"/>
        <v/>
      </c>
      <c r="L41" s="8" t="str">
        <f t="shared" si="14"/>
        <v/>
      </c>
      <c r="M41" s="8" t="str">
        <f t="shared" si="14"/>
        <v/>
      </c>
      <c r="N41" s="8" t="str">
        <f t="shared" si="14"/>
        <v/>
      </c>
      <c r="O41" s="8">
        <f>SUM(E41:N41)</f>
        <v>0</v>
      </c>
      <c r="P41">
        <v>12757.99</v>
      </c>
      <c r="Q41" s="8">
        <f>O41+P41</f>
        <v>12757.99</v>
      </c>
    </row>
    <row r="42" spans="1:17" x14ac:dyDescent="0.25">
      <c r="A42" t="s">
        <v>8</v>
      </c>
      <c r="B42" s="8" t="e">
        <f>B28-C39+B29</f>
        <v>#N/A</v>
      </c>
      <c r="C42" s="5">
        <f>SUM(E42:N42)</f>
        <v>0</v>
      </c>
      <c r="E42" s="8" t="str">
        <f t="shared" ref="E42:G42" si="15">IFERROR(E36*E9,"")</f>
        <v/>
      </c>
      <c r="F42" s="8" t="str">
        <f t="shared" si="15"/>
        <v/>
      </c>
      <c r="G42" s="8" t="str">
        <f t="shared" si="15"/>
        <v/>
      </c>
      <c r="H42" s="8" t="str">
        <f t="shared" ref="H42:N42" si="16">IFERROR(H36*H9,"")</f>
        <v/>
      </c>
      <c r="I42" s="8" t="str">
        <f t="shared" si="16"/>
        <v/>
      </c>
      <c r="J42" s="8" t="str">
        <f t="shared" si="16"/>
        <v/>
      </c>
      <c r="K42" s="8" t="str">
        <f t="shared" si="16"/>
        <v/>
      </c>
      <c r="L42" s="8" t="str">
        <f t="shared" si="16"/>
        <v/>
      </c>
      <c r="M42" s="8" t="str">
        <f t="shared" si="16"/>
        <v/>
      </c>
      <c r="N42" s="8" t="str">
        <f t="shared" si="16"/>
        <v/>
      </c>
      <c r="O42" s="8">
        <f>O41/5</f>
        <v>0</v>
      </c>
      <c r="P42" s="8">
        <f>P41/5</f>
        <v>2551.598</v>
      </c>
      <c r="Q42" s="8">
        <f>O42+P42</f>
        <v>2551.598</v>
      </c>
    </row>
    <row r="44" spans="1:17" x14ac:dyDescent="0.25">
      <c r="C44" s="5"/>
      <c r="E44" s="8" t="str">
        <f>IFERROR(ROUND(E41/6,2),"")</f>
        <v/>
      </c>
      <c r="F44" s="8" t="str">
        <f t="shared" ref="F44:G44" si="17">IFERROR(ROUND(F41/6,2),"")</f>
        <v/>
      </c>
      <c r="G44" s="8" t="str">
        <f t="shared" si="17"/>
        <v/>
      </c>
      <c r="H44" s="8" t="str">
        <f t="shared" ref="H44:N44" si="18">IFERROR(ROUND(H41/6,2),"")</f>
        <v/>
      </c>
      <c r="I44" s="8" t="str">
        <f t="shared" si="18"/>
        <v/>
      </c>
      <c r="J44" s="8" t="str">
        <f t="shared" si="18"/>
        <v/>
      </c>
      <c r="K44" s="8" t="str">
        <f t="shared" si="18"/>
        <v/>
      </c>
      <c r="L44" s="8" t="str">
        <f t="shared" si="18"/>
        <v/>
      </c>
      <c r="M44" s="8" t="str">
        <f t="shared" si="18"/>
        <v/>
      </c>
      <c r="N44" s="8" t="str">
        <f t="shared" si="18"/>
        <v/>
      </c>
      <c r="O44" s="8">
        <f>O42*5</f>
        <v>0</v>
      </c>
      <c r="P44" s="8">
        <f>P42*5</f>
        <v>12757.99</v>
      </c>
      <c r="Q44" s="8">
        <f>Q42*5</f>
        <v>12757.99</v>
      </c>
    </row>
    <row r="45" spans="1:17" x14ac:dyDescent="0.25">
      <c r="O45" s="8"/>
    </row>
  </sheetData>
  <phoneticPr fontId="0" type="noConversion"/>
  <pageMargins left="0.5" right="0.5" top="0.75" bottom="0.75" header="0.25" footer="0.25"/>
  <pageSetup scale="5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83"/>
  <sheetViews>
    <sheetView zoomScale="85" workbookViewId="0">
      <pane xSplit="3" ySplit="2" topLeftCell="L3" activePane="bottomRight" state="frozen"/>
      <selection activeCell="A4" sqref="A4"/>
      <selection pane="topRight" activeCell="A4" sqref="A4"/>
      <selection pane="bottomLeft" activeCell="A4" sqref="A4"/>
      <selection pane="bottomRight" activeCell="Q1" sqref="Q1:S1048576"/>
    </sheetView>
  </sheetViews>
  <sheetFormatPr defaultColWidth="9.1796875" defaultRowHeight="12.5" x14ac:dyDescent="0.25"/>
  <cols>
    <col min="1" max="1" width="8.453125" customWidth="1"/>
    <col min="2" max="2" width="14.26953125" bestFit="1" customWidth="1"/>
    <col min="3" max="3" width="21.81640625" bestFit="1" customWidth="1"/>
    <col min="4" max="5" width="10.81640625" bestFit="1" customWidth="1"/>
    <col min="6" max="6" width="12.453125" style="5" bestFit="1" customWidth="1"/>
    <col min="7" max="7" width="14.54296875" bestFit="1" customWidth="1"/>
    <col min="8" max="8" width="13.1796875" bestFit="1" customWidth="1"/>
    <col min="9" max="9" width="16.1796875" bestFit="1" customWidth="1"/>
    <col min="10" max="10" width="16.7265625" style="28" bestFit="1" customWidth="1"/>
    <col min="11" max="11" width="16.7265625" style="28" customWidth="1"/>
    <col min="12" max="12" width="17.26953125" bestFit="1" customWidth="1"/>
    <col min="13" max="13" width="22.7265625" bestFit="1" customWidth="1"/>
    <col min="15" max="15" width="13.54296875" style="28" bestFit="1" customWidth="1"/>
  </cols>
  <sheetData>
    <row r="1" spans="1:15" x14ac:dyDescent="0.25">
      <c r="D1" t="s">
        <v>471</v>
      </c>
      <c r="E1" t="s">
        <v>472</v>
      </c>
      <c r="F1" s="5" t="s">
        <v>473</v>
      </c>
      <c r="G1" t="s">
        <v>519</v>
      </c>
      <c r="H1" t="s">
        <v>474</v>
      </c>
      <c r="I1" t="s">
        <v>475</v>
      </c>
      <c r="J1" s="28" t="s">
        <v>476</v>
      </c>
      <c r="K1" s="28" t="s">
        <v>477</v>
      </c>
      <c r="L1" t="s">
        <v>478</v>
      </c>
      <c r="N1" t="s">
        <v>498</v>
      </c>
      <c r="O1" s="28" t="s">
        <v>499</v>
      </c>
    </row>
    <row r="2" spans="1:15" ht="52" x14ac:dyDescent="0.3">
      <c r="A2" s="21" t="s">
        <v>232</v>
      </c>
      <c r="B2" s="21" t="s">
        <v>413</v>
      </c>
      <c r="C2" s="21" t="s">
        <v>414</v>
      </c>
      <c r="D2" s="22" t="s">
        <v>3</v>
      </c>
      <c r="E2" s="22" t="s">
        <v>411</v>
      </c>
      <c r="F2" s="23" t="s">
        <v>13</v>
      </c>
      <c r="G2" s="22" t="s">
        <v>7</v>
      </c>
      <c r="H2" s="22" t="s">
        <v>4</v>
      </c>
      <c r="I2" s="24" t="s">
        <v>9</v>
      </c>
      <c r="J2" s="25" t="s">
        <v>420</v>
      </c>
      <c r="K2" s="25" t="s">
        <v>425</v>
      </c>
      <c r="L2" s="22" t="s">
        <v>427</v>
      </c>
      <c r="M2" s="22" t="s">
        <v>426</v>
      </c>
      <c r="N2" s="22" t="s">
        <v>481</v>
      </c>
      <c r="O2" s="25" t="s">
        <v>482</v>
      </c>
    </row>
    <row r="4" spans="1:15" x14ac:dyDescent="0.25">
      <c r="A4" s="26" t="s">
        <v>233</v>
      </c>
      <c r="B4" s="27" t="s">
        <v>21</v>
      </c>
      <c r="C4" s="27" t="s">
        <v>22</v>
      </c>
      <c r="D4" s="6">
        <v>6560.5</v>
      </c>
      <c r="E4" s="6">
        <v>4821</v>
      </c>
      <c r="F4" s="28">
        <v>10497.368143655758</v>
      </c>
      <c r="G4" s="28">
        <v>7967216.6100000003</v>
      </c>
      <c r="H4" s="6">
        <v>6561</v>
      </c>
      <c r="I4" s="28">
        <v>77934324.75</v>
      </c>
      <c r="J4" s="28">
        <v>0</v>
      </c>
      <c r="K4" s="28">
        <v>0</v>
      </c>
      <c r="L4" s="28">
        <v>77934324.75</v>
      </c>
      <c r="M4" s="28">
        <v>10791.3</v>
      </c>
      <c r="N4" s="31">
        <v>1359</v>
      </c>
      <c r="O4" s="28">
        <v>1141273.8600000001</v>
      </c>
    </row>
    <row r="5" spans="1:15" x14ac:dyDescent="0.25">
      <c r="A5" s="26" t="s">
        <v>234</v>
      </c>
      <c r="B5" s="27" t="s">
        <v>21</v>
      </c>
      <c r="C5" s="27" t="s">
        <v>23</v>
      </c>
      <c r="D5" s="6">
        <v>39193.4</v>
      </c>
      <c r="E5" s="6">
        <v>19501.599999999999</v>
      </c>
      <c r="F5" s="28">
        <v>10538.09869606</v>
      </c>
      <c r="G5" s="28">
        <v>24983074.82</v>
      </c>
      <c r="H5" s="6">
        <v>37728</v>
      </c>
      <c r="I5" s="28">
        <v>441555784.05000001</v>
      </c>
      <c r="J5" s="28">
        <v>0</v>
      </c>
      <c r="K5" s="28">
        <v>0</v>
      </c>
      <c r="L5" s="28">
        <v>441555784.05000001</v>
      </c>
      <c r="M5" s="28">
        <v>10791.3</v>
      </c>
      <c r="N5" s="31">
        <v>4465</v>
      </c>
      <c r="O5" s="28">
        <v>3764208.85</v>
      </c>
    </row>
    <row r="6" spans="1:15" x14ac:dyDescent="0.25">
      <c r="A6" s="26" t="s">
        <v>235</v>
      </c>
      <c r="B6" s="27" t="s">
        <v>21</v>
      </c>
      <c r="C6" s="27" t="s">
        <v>24</v>
      </c>
      <c r="D6" s="6">
        <v>5828.8</v>
      </c>
      <c r="E6" s="6">
        <v>4799.1000000000004</v>
      </c>
      <c r="F6" s="28">
        <v>10405.297463090001</v>
      </c>
      <c r="G6" s="28">
        <v>8970926.1699999999</v>
      </c>
      <c r="H6" s="6">
        <v>5427</v>
      </c>
      <c r="I6" s="28">
        <v>70881780.040000007</v>
      </c>
      <c r="J6" s="28">
        <v>0</v>
      </c>
      <c r="K6" s="28">
        <v>0</v>
      </c>
      <c r="L6" s="28">
        <v>70881780.040000007</v>
      </c>
      <c r="M6" s="28">
        <v>10791.3</v>
      </c>
      <c r="N6" s="31">
        <v>1525</v>
      </c>
      <c r="O6" s="28">
        <v>1269446.29</v>
      </c>
    </row>
    <row r="7" spans="1:15" x14ac:dyDescent="0.25">
      <c r="A7" s="26" t="s">
        <v>236</v>
      </c>
      <c r="B7" s="27" t="s">
        <v>21</v>
      </c>
      <c r="C7" s="27" t="s">
        <v>25</v>
      </c>
      <c r="D7" s="6">
        <v>24030.6</v>
      </c>
      <c r="E7" s="6">
        <v>12353.5</v>
      </c>
      <c r="F7" s="28">
        <v>10448.718247659999</v>
      </c>
      <c r="G7" s="28">
        <v>15670279.1</v>
      </c>
      <c r="H7" s="6">
        <v>24034</v>
      </c>
      <c r="I7" s="28">
        <v>268471199.26999998</v>
      </c>
      <c r="J7" s="28">
        <v>0</v>
      </c>
      <c r="K7" s="28">
        <v>0</v>
      </c>
      <c r="L7" s="28">
        <v>268471199.26999998</v>
      </c>
      <c r="M7" s="28">
        <v>10791.3</v>
      </c>
      <c r="N7" s="31">
        <v>2508</v>
      </c>
      <c r="O7" s="28">
        <v>2096430.83</v>
      </c>
    </row>
    <row r="8" spans="1:15" x14ac:dyDescent="0.25">
      <c r="A8" s="26" t="s">
        <v>237</v>
      </c>
      <c r="B8" s="27" t="s">
        <v>21</v>
      </c>
      <c r="C8" s="27" t="s">
        <v>26</v>
      </c>
      <c r="D8" s="6">
        <v>1710</v>
      </c>
      <c r="E8" s="6">
        <v>752.8</v>
      </c>
      <c r="F8" s="28">
        <v>10936.117657999999</v>
      </c>
      <c r="G8" s="28">
        <v>987925.12</v>
      </c>
      <c r="H8" s="6">
        <v>1709</v>
      </c>
      <c r="I8" s="28">
        <v>20172478.309999999</v>
      </c>
      <c r="J8" s="28">
        <v>0</v>
      </c>
      <c r="K8" s="28">
        <v>0</v>
      </c>
      <c r="L8" s="28">
        <v>20172478.309999999</v>
      </c>
      <c r="M8" s="28">
        <v>10791.3</v>
      </c>
      <c r="N8" s="31">
        <v>207</v>
      </c>
      <c r="O8" s="28">
        <v>181102.11</v>
      </c>
    </row>
    <row r="9" spans="1:15" x14ac:dyDescent="0.25">
      <c r="A9" s="26" t="s">
        <v>238</v>
      </c>
      <c r="B9" s="27" t="s">
        <v>21</v>
      </c>
      <c r="C9" s="27" t="s">
        <v>27</v>
      </c>
      <c r="D9" s="6">
        <v>1105</v>
      </c>
      <c r="E9" s="6">
        <v>446</v>
      </c>
      <c r="F9" s="28">
        <v>11161.89090756</v>
      </c>
      <c r="G9" s="28">
        <v>597384.4</v>
      </c>
      <c r="H9" s="6">
        <v>1090</v>
      </c>
      <c r="I9" s="28">
        <v>13187782.6</v>
      </c>
      <c r="J9" s="28">
        <v>0</v>
      </c>
      <c r="K9" s="28">
        <v>0</v>
      </c>
      <c r="L9" s="28">
        <v>13187782.6</v>
      </c>
      <c r="M9" s="28">
        <v>10791.3</v>
      </c>
      <c r="N9" s="31">
        <v>69</v>
      </c>
      <c r="O9" s="28">
        <v>61613.64</v>
      </c>
    </row>
    <row r="10" spans="1:15" x14ac:dyDescent="0.25">
      <c r="A10" s="26" t="s">
        <v>239</v>
      </c>
      <c r="B10" s="27" t="s">
        <v>21</v>
      </c>
      <c r="C10" s="27" t="s">
        <v>28</v>
      </c>
      <c r="D10" s="6">
        <v>8232.5</v>
      </c>
      <c r="E10" s="6">
        <v>6561</v>
      </c>
      <c r="F10" s="28">
        <v>10421.88416605</v>
      </c>
      <c r="G10" s="28">
        <v>11353159.550000001</v>
      </c>
      <c r="H10" s="6">
        <v>8005</v>
      </c>
      <c r="I10" s="28">
        <v>98683103.170000002</v>
      </c>
      <c r="J10" s="28">
        <v>0</v>
      </c>
      <c r="K10" s="28">
        <v>0</v>
      </c>
      <c r="L10" s="28">
        <v>98683103.170000002</v>
      </c>
      <c r="M10" s="28">
        <v>10791.3</v>
      </c>
      <c r="N10" s="31">
        <v>1835</v>
      </c>
      <c r="O10" s="28">
        <v>1529932.6</v>
      </c>
    </row>
    <row r="11" spans="1:15" x14ac:dyDescent="0.25">
      <c r="A11" s="26" t="s">
        <v>240</v>
      </c>
      <c r="B11" s="27" t="s">
        <v>29</v>
      </c>
      <c r="C11" s="27" t="s">
        <v>29</v>
      </c>
      <c r="D11" s="6">
        <v>2103.8000000000002</v>
      </c>
      <c r="E11" s="6">
        <v>1608.1</v>
      </c>
      <c r="F11" s="28">
        <v>10064.16026427</v>
      </c>
      <c r="G11" s="28">
        <v>2604157.33</v>
      </c>
      <c r="H11" s="6">
        <v>2025</v>
      </c>
      <c r="I11" s="28">
        <v>24300142.899999999</v>
      </c>
      <c r="J11" s="28">
        <v>0</v>
      </c>
      <c r="K11" s="28">
        <v>0</v>
      </c>
      <c r="L11" s="28">
        <v>24300142.899999999</v>
      </c>
      <c r="M11" s="28">
        <v>10791.3</v>
      </c>
      <c r="N11" s="31">
        <v>185</v>
      </c>
      <c r="O11" s="28">
        <v>148949.57</v>
      </c>
    </row>
    <row r="12" spans="1:15" x14ac:dyDescent="0.25">
      <c r="A12" s="26" t="s">
        <v>241</v>
      </c>
      <c r="B12" s="27" t="s">
        <v>29</v>
      </c>
      <c r="C12" s="27" t="s">
        <v>30</v>
      </c>
      <c r="D12" s="6">
        <v>253.3</v>
      </c>
      <c r="E12" s="6">
        <v>149</v>
      </c>
      <c r="F12" s="28">
        <v>15107.8424779</v>
      </c>
      <c r="G12" s="28">
        <v>307319.88</v>
      </c>
      <c r="H12" s="6">
        <v>244</v>
      </c>
      <c r="I12" s="28">
        <v>4257003.24</v>
      </c>
      <c r="J12" s="28">
        <v>0</v>
      </c>
      <c r="K12" s="28">
        <v>0</v>
      </c>
      <c r="L12" s="28">
        <v>4257003.24</v>
      </c>
      <c r="M12" s="28">
        <v>10791.3</v>
      </c>
      <c r="N12" s="31">
        <v>3</v>
      </c>
      <c r="O12" s="28">
        <v>3625.88</v>
      </c>
    </row>
    <row r="13" spans="1:15" x14ac:dyDescent="0.25">
      <c r="A13" s="26" t="s">
        <v>242</v>
      </c>
      <c r="B13" s="27" t="s">
        <v>31</v>
      </c>
      <c r="C13" s="27" t="s">
        <v>32</v>
      </c>
      <c r="D13" s="6">
        <v>2194.3000000000002</v>
      </c>
      <c r="E13" s="6">
        <v>1364.8</v>
      </c>
      <c r="F13" s="28">
        <v>10887.331000960001</v>
      </c>
      <c r="G13" s="28">
        <v>2123172.69</v>
      </c>
      <c r="H13" s="6">
        <v>2113</v>
      </c>
      <c r="I13" s="28">
        <v>26143620</v>
      </c>
      <c r="J13" s="28">
        <v>0</v>
      </c>
      <c r="K13" s="28">
        <v>0</v>
      </c>
      <c r="L13" s="28">
        <v>26143620</v>
      </c>
      <c r="M13" s="28">
        <v>10791.3</v>
      </c>
      <c r="N13" s="31">
        <v>184</v>
      </c>
      <c r="O13" s="28">
        <v>160261.51</v>
      </c>
    </row>
    <row r="14" spans="1:15" x14ac:dyDescent="0.25">
      <c r="A14" s="26" t="s">
        <v>243</v>
      </c>
      <c r="B14" s="27" t="s">
        <v>31</v>
      </c>
      <c r="C14" s="27" t="s">
        <v>33</v>
      </c>
      <c r="D14" s="6">
        <v>1009</v>
      </c>
      <c r="E14" s="6">
        <v>753</v>
      </c>
      <c r="F14" s="28">
        <v>11524.70223606</v>
      </c>
      <c r="G14" s="28">
        <v>1940310.35</v>
      </c>
      <c r="H14" s="6">
        <v>876</v>
      </c>
      <c r="I14" s="28">
        <v>13714030.619999999</v>
      </c>
      <c r="J14" s="28">
        <v>0</v>
      </c>
      <c r="K14" s="28">
        <v>0</v>
      </c>
      <c r="L14" s="28">
        <v>13714030.619999999</v>
      </c>
      <c r="M14" s="28">
        <v>10791.3</v>
      </c>
      <c r="N14" s="31">
        <v>187</v>
      </c>
      <c r="O14" s="28">
        <v>172409.55</v>
      </c>
    </row>
    <row r="15" spans="1:15" x14ac:dyDescent="0.25">
      <c r="A15" s="26" t="s">
        <v>244</v>
      </c>
      <c r="B15" s="27" t="s">
        <v>31</v>
      </c>
      <c r="C15" s="27" t="s">
        <v>34</v>
      </c>
      <c r="D15" s="6">
        <v>51203.9</v>
      </c>
      <c r="E15" s="6">
        <v>19034.099999999999</v>
      </c>
      <c r="F15" s="28">
        <v>10854.80245005</v>
      </c>
      <c r="G15" s="28">
        <v>24793367.440000001</v>
      </c>
      <c r="H15" s="6">
        <v>50690</v>
      </c>
      <c r="I15" s="28">
        <v>585173577.00999999</v>
      </c>
      <c r="J15" s="28">
        <v>0</v>
      </c>
      <c r="K15" s="28">
        <v>0</v>
      </c>
      <c r="L15" s="28">
        <v>585173577.00999999</v>
      </c>
      <c r="M15" s="28">
        <v>10791.3</v>
      </c>
      <c r="N15" s="31">
        <v>5452</v>
      </c>
      <c r="O15" s="28">
        <v>4734430.6399999997</v>
      </c>
    </row>
    <row r="16" spans="1:15" x14ac:dyDescent="0.25">
      <c r="A16" s="26" t="s">
        <v>245</v>
      </c>
      <c r="B16" s="27" t="s">
        <v>31</v>
      </c>
      <c r="C16" s="27" t="s">
        <v>35</v>
      </c>
      <c r="D16" s="6">
        <v>13208.4</v>
      </c>
      <c r="E16" s="6">
        <v>3108</v>
      </c>
      <c r="F16" s="28">
        <v>10586.097687109999</v>
      </c>
      <c r="G16" s="28">
        <v>3948190.99</v>
      </c>
      <c r="H16" s="6">
        <v>12691</v>
      </c>
      <c r="I16" s="28">
        <v>144033827.53</v>
      </c>
      <c r="J16" s="28">
        <v>0</v>
      </c>
      <c r="K16" s="28">
        <v>0</v>
      </c>
      <c r="L16" s="28">
        <v>144033827.53</v>
      </c>
      <c r="M16" s="28">
        <v>10791.3</v>
      </c>
      <c r="N16" s="31">
        <v>401</v>
      </c>
      <c r="O16" s="28">
        <v>339602.01</v>
      </c>
    </row>
    <row r="17" spans="1:15" x14ac:dyDescent="0.25">
      <c r="A17" s="26" t="s">
        <v>246</v>
      </c>
      <c r="B17" s="27" t="s">
        <v>31</v>
      </c>
      <c r="C17" s="27" t="s">
        <v>36</v>
      </c>
      <c r="D17" s="6">
        <v>316.5</v>
      </c>
      <c r="E17" s="6">
        <v>158.4</v>
      </c>
      <c r="F17" s="28">
        <v>14768.55493991</v>
      </c>
      <c r="G17" s="28">
        <v>327513.46999999997</v>
      </c>
      <c r="H17" s="6">
        <v>302</v>
      </c>
      <c r="I17" s="28">
        <v>5187379.51</v>
      </c>
      <c r="J17" s="28">
        <v>0</v>
      </c>
      <c r="K17" s="28">
        <v>0</v>
      </c>
      <c r="L17" s="28">
        <v>5187379.51</v>
      </c>
      <c r="M17" s="28">
        <v>10791.3</v>
      </c>
      <c r="N17" s="31">
        <v>31</v>
      </c>
      <c r="O17" s="28">
        <v>36626.019999999997</v>
      </c>
    </row>
    <row r="18" spans="1:15" x14ac:dyDescent="0.25">
      <c r="A18" s="26" t="s">
        <v>247</v>
      </c>
      <c r="B18" s="27" t="s">
        <v>31</v>
      </c>
      <c r="C18" s="27" t="s">
        <v>37</v>
      </c>
      <c r="D18" s="6">
        <v>39034.400000000001</v>
      </c>
      <c r="E18" s="6">
        <v>31256</v>
      </c>
      <c r="F18" s="28">
        <v>10688.53297921</v>
      </c>
      <c r="G18" s="28">
        <v>53340560.329999998</v>
      </c>
      <c r="H18" s="6">
        <v>39675</v>
      </c>
      <c r="I18" s="28">
        <v>480594581.25</v>
      </c>
      <c r="J18" s="28">
        <v>0</v>
      </c>
      <c r="K18" s="28">
        <v>0</v>
      </c>
      <c r="L18" s="28">
        <v>480594581.25</v>
      </c>
      <c r="M18" s="28">
        <v>10791.3</v>
      </c>
      <c r="N18" s="31">
        <v>11916</v>
      </c>
      <c r="O18" s="28">
        <v>10189164.720000001</v>
      </c>
    </row>
    <row r="19" spans="1:15" x14ac:dyDescent="0.25">
      <c r="A19" s="26" t="s">
        <v>248</v>
      </c>
      <c r="B19" s="27" t="s">
        <v>31</v>
      </c>
      <c r="C19" s="27" t="s">
        <v>38</v>
      </c>
      <c r="D19" s="6">
        <v>6498.8</v>
      </c>
      <c r="E19" s="6">
        <v>3594</v>
      </c>
      <c r="F19" s="28">
        <v>10419.427524770001</v>
      </c>
      <c r="G19" s="28">
        <v>4592116.78</v>
      </c>
      <c r="H19" s="6">
        <v>6738</v>
      </c>
      <c r="I19" s="28">
        <v>72495287.170000002</v>
      </c>
      <c r="J19" s="28">
        <v>0</v>
      </c>
      <c r="K19" s="28">
        <v>0</v>
      </c>
      <c r="L19" s="28">
        <v>72495287.170000002</v>
      </c>
      <c r="M19" s="28">
        <v>10791.3</v>
      </c>
      <c r="N19" s="31">
        <v>108</v>
      </c>
      <c r="O19" s="28">
        <v>90023.85</v>
      </c>
    </row>
    <row r="20" spans="1:15" x14ac:dyDescent="0.25">
      <c r="A20" s="26" t="s">
        <v>249</v>
      </c>
      <c r="B20" s="27" t="s">
        <v>39</v>
      </c>
      <c r="C20" s="27" t="s">
        <v>39</v>
      </c>
      <c r="D20" s="6">
        <v>1616.8</v>
      </c>
      <c r="E20" s="6">
        <v>932.3</v>
      </c>
      <c r="F20" s="28">
        <v>10723.06009296</v>
      </c>
      <c r="G20" s="28">
        <v>1329635.1299999999</v>
      </c>
      <c r="H20" s="6">
        <v>1574</v>
      </c>
      <c r="I20" s="28">
        <v>18990331.129999999</v>
      </c>
      <c r="J20" s="28">
        <v>0</v>
      </c>
      <c r="K20" s="28">
        <v>0</v>
      </c>
      <c r="L20" s="28">
        <v>18990331.129999999</v>
      </c>
      <c r="M20" s="28">
        <v>10791.3</v>
      </c>
      <c r="N20" s="31">
        <v>50</v>
      </c>
      <c r="O20" s="28">
        <v>42892.24</v>
      </c>
    </row>
    <row r="21" spans="1:15" x14ac:dyDescent="0.25">
      <c r="A21" s="26" t="s">
        <v>250</v>
      </c>
      <c r="B21" s="27" t="s">
        <v>40</v>
      </c>
      <c r="C21" s="27" t="s">
        <v>41</v>
      </c>
      <c r="D21" s="6">
        <v>161.5</v>
      </c>
      <c r="E21" s="6">
        <v>117</v>
      </c>
      <c r="F21" s="28">
        <v>17929.570781310002</v>
      </c>
      <c r="G21" s="28">
        <v>251731.17</v>
      </c>
      <c r="H21" s="6">
        <v>158</v>
      </c>
      <c r="I21" s="28">
        <v>3247356.85</v>
      </c>
      <c r="J21" s="28">
        <v>0</v>
      </c>
      <c r="K21" s="28">
        <v>0</v>
      </c>
      <c r="L21" s="28">
        <v>3247356.85</v>
      </c>
      <c r="M21" s="28">
        <v>10791.3</v>
      </c>
      <c r="N21" s="31">
        <v>0</v>
      </c>
      <c r="O21" s="28">
        <v>0</v>
      </c>
    </row>
    <row r="22" spans="1:15" x14ac:dyDescent="0.25">
      <c r="A22" s="26" t="s">
        <v>251</v>
      </c>
      <c r="B22" s="27" t="s">
        <v>40</v>
      </c>
      <c r="C22" s="27" t="s">
        <v>42</v>
      </c>
      <c r="D22" s="6">
        <v>57</v>
      </c>
      <c r="E22" s="6">
        <v>38.5</v>
      </c>
      <c r="F22" s="28">
        <v>21339.649780719999</v>
      </c>
      <c r="G22" s="28">
        <v>98589.18</v>
      </c>
      <c r="H22" s="6">
        <v>57</v>
      </c>
      <c r="I22" s="28">
        <v>1414949.22</v>
      </c>
      <c r="J22" s="28">
        <v>0</v>
      </c>
      <c r="K22" s="28">
        <v>0</v>
      </c>
      <c r="L22" s="28">
        <v>1414949.22</v>
      </c>
      <c r="M22" s="28">
        <v>10791.3</v>
      </c>
      <c r="N22" s="31">
        <v>0</v>
      </c>
      <c r="O22" s="28">
        <v>0</v>
      </c>
    </row>
    <row r="23" spans="1:15" x14ac:dyDescent="0.25">
      <c r="A23" s="26" t="s">
        <v>252</v>
      </c>
      <c r="B23" s="27" t="s">
        <v>40</v>
      </c>
      <c r="C23" s="27" t="s">
        <v>43</v>
      </c>
      <c r="D23" s="6">
        <v>257.60000000000002</v>
      </c>
      <c r="E23" s="6">
        <v>183.3</v>
      </c>
      <c r="F23" s="28">
        <v>14646.100785930001</v>
      </c>
      <c r="G23" s="28">
        <v>322155.63</v>
      </c>
      <c r="H23" s="6">
        <v>246</v>
      </c>
      <c r="I23" s="28">
        <v>4216256.3899999997</v>
      </c>
      <c r="J23" s="28">
        <v>0</v>
      </c>
      <c r="K23" s="28">
        <v>0</v>
      </c>
      <c r="L23" s="28">
        <v>4216256.3899999997</v>
      </c>
      <c r="M23" s="28">
        <v>10791.3</v>
      </c>
      <c r="N23" s="31">
        <v>0</v>
      </c>
      <c r="O23" s="28">
        <v>0</v>
      </c>
    </row>
    <row r="24" spans="1:15" x14ac:dyDescent="0.25">
      <c r="A24" s="26" t="s">
        <v>253</v>
      </c>
      <c r="B24" s="27" t="s">
        <v>40</v>
      </c>
      <c r="C24" s="27" t="s">
        <v>44</v>
      </c>
      <c r="D24" s="6">
        <v>133.80000000000001</v>
      </c>
      <c r="E24" s="6">
        <v>39.9</v>
      </c>
      <c r="F24" s="28">
        <v>18744.321082719998</v>
      </c>
      <c r="G24" s="28">
        <v>202697.85</v>
      </c>
      <c r="H24" s="6">
        <v>51</v>
      </c>
      <c r="I24" s="28">
        <v>2801531.69</v>
      </c>
      <c r="J24" s="28">
        <v>0</v>
      </c>
      <c r="K24" s="28">
        <v>0</v>
      </c>
      <c r="L24" s="28">
        <v>2801531.69</v>
      </c>
      <c r="M24" s="28">
        <v>10791.3</v>
      </c>
      <c r="N24" s="31">
        <v>0</v>
      </c>
      <c r="O24" s="28">
        <v>0</v>
      </c>
    </row>
    <row r="25" spans="1:15" x14ac:dyDescent="0.25">
      <c r="A25" s="26" t="s">
        <v>254</v>
      </c>
      <c r="B25" s="27" t="s">
        <v>40</v>
      </c>
      <c r="C25" s="27" t="s">
        <v>45</v>
      </c>
      <c r="D25" s="6">
        <v>50</v>
      </c>
      <c r="E25" s="6">
        <v>22</v>
      </c>
      <c r="F25" s="28">
        <v>21559.475281350002</v>
      </c>
      <c r="G25" s="28">
        <v>56917.01</v>
      </c>
      <c r="H25" s="6">
        <v>39</v>
      </c>
      <c r="I25" s="28">
        <v>1234890.77</v>
      </c>
      <c r="J25" s="28">
        <v>0</v>
      </c>
      <c r="K25" s="28">
        <v>0</v>
      </c>
      <c r="L25" s="28">
        <v>1234890.77</v>
      </c>
      <c r="M25" s="28">
        <v>10791.3</v>
      </c>
      <c r="N25" s="31">
        <v>0</v>
      </c>
      <c r="O25" s="28">
        <v>0</v>
      </c>
    </row>
    <row r="26" spans="1:15" x14ac:dyDescent="0.25">
      <c r="A26" s="26" t="s">
        <v>255</v>
      </c>
      <c r="B26" s="27" t="s">
        <v>46</v>
      </c>
      <c r="C26" s="27" t="s">
        <v>47</v>
      </c>
      <c r="D26" s="6">
        <v>904</v>
      </c>
      <c r="E26" s="6">
        <v>739</v>
      </c>
      <c r="F26" s="28">
        <v>10340.346700190001</v>
      </c>
      <c r="G26" s="28">
        <v>1303391.3999999999</v>
      </c>
      <c r="H26" s="6">
        <v>878</v>
      </c>
      <c r="I26" s="28">
        <v>11015686.68</v>
      </c>
      <c r="J26" s="28">
        <v>0</v>
      </c>
      <c r="K26" s="28">
        <v>0</v>
      </c>
      <c r="L26" s="28">
        <v>11015686.68</v>
      </c>
      <c r="M26" s="28">
        <v>10791.3</v>
      </c>
      <c r="N26" s="31">
        <v>4</v>
      </c>
      <c r="O26" s="28">
        <v>3308.91</v>
      </c>
    </row>
    <row r="27" spans="1:15" x14ac:dyDescent="0.25">
      <c r="A27" s="26" t="s">
        <v>256</v>
      </c>
      <c r="B27" s="27" t="s">
        <v>46</v>
      </c>
      <c r="C27" s="27" t="s">
        <v>48</v>
      </c>
      <c r="D27" s="6">
        <v>231.2</v>
      </c>
      <c r="E27" s="6">
        <v>90.1</v>
      </c>
      <c r="F27" s="28">
        <v>15202.1747758</v>
      </c>
      <c r="G27" s="28">
        <v>183423.81</v>
      </c>
      <c r="H27" s="6">
        <v>231</v>
      </c>
      <c r="I27" s="28">
        <v>3811868.72</v>
      </c>
      <c r="J27" s="28">
        <v>0</v>
      </c>
      <c r="K27" s="28">
        <v>0</v>
      </c>
      <c r="L27" s="28">
        <v>3811868.72</v>
      </c>
      <c r="M27" s="28">
        <v>10791.3</v>
      </c>
      <c r="N27" s="31">
        <v>4</v>
      </c>
      <c r="O27" s="28">
        <v>4864.7</v>
      </c>
    </row>
    <row r="28" spans="1:15" x14ac:dyDescent="0.25">
      <c r="A28" s="26" t="s">
        <v>257</v>
      </c>
      <c r="B28" s="27" t="s">
        <v>49</v>
      </c>
      <c r="C28" s="27" t="s">
        <v>50</v>
      </c>
      <c r="D28" s="6">
        <v>31037.4</v>
      </c>
      <c r="E28" s="6">
        <v>11329.9</v>
      </c>
      <c r="F28" s="28">
        <v>10609.35704071</v>
      </c>
      <c r="G28" s="28">
        <v>14424354.52</v>
      </c>
      <c r="H28" s="6">
        <v>31075</v>
      </c>
      <c r="I28" s="28">
        <v>345304198.10000002</v>
      </c>
      <c r="J28" s="28">
        <v>0</v>
      </c>
      <c r="K28" s="28">
        <v>0</v>
      </c>
      <c r="L28" s="28">
        <v>345304198.10000002</v>
      </c>
      <c r="M28" s="28">
        <v>10791.3</v>
      </c>
      <c r="N28" s="31">
        <v>2041</v>
      </c>
      <c r="O28" s="28">
        <v>1732295.82</v>
      </c>
    </row>
    <row r="29" spans="1:15" x14ac:dyDescent="0.25">
      <c r="A29" s="26" t="s">
        <v>258</v>
      </c>
      <c r="B29" s="27" t="s">
        <v>49</v>
      </c>
      <c r="C29" s="27" t="s">
        <v>49</v>
      </c>
      <c r="D29" s="6">
        <v>27431.599999999999</v>
      </c>
      <c r="E29" s="6">
        <v>7464.8</v>
      </c>
      <c r="F29" s="28">
        <v>10841.55250985</v>
      </c>
      <c r="G29" s="28">
        <v>9711602.5399999991</v>
      </c>
      <c r="H29" s="6">
        <v>27135</v>
      </c>
      <c r="I29" s="28">
        <v>308280109.13999999</v>
      </c>
      <c r="J29" s="28">
        <v>0</v>
      </c>
      <c r="K29" s="28">
        <v>0</v>
      </c>
      <c r="L29" s="28">
        <v>308280109.13999999</v>
      </c>
      <c r="M29" s="28">
        <v>10791.3</v>
      </c>
      <c r="N29" s="31">
        <v>1565</v>
      </c>
      <c r="O29" s="28">
        <v>1357362.37</v>
      </c>
    </row>
    <row r="30" spans="1:15" x14ac:dyDescent="0.25">
      <c r="A30" s="26" t="s">
        <v>259</v>
      </c>
      <c r="B30" s="27" t="s">
        <v>51</v>
      </c>
      <c r="C30" s="27" t="s">
        <v>52</v>
      </c>
      <c r="D30" s="6">
        <v>921</v>
      </c>
      <c r="E30" s="6">
        <v>318</v>
      </c>
      <c r="F30" s="28">
        <v>11157.3158981</v>
      </c>
      <c r="G30" s="28">
        <v>425763.17</v>
      </c>
      <c r="H30" s="6">
        <v>864</v>
      </c>
      <c r="I30" s="28">
        <v>11163774.59</v>
      </c>
      <c r="J30" s="28">
        <v>0</v>
      </c>
      <c r="K30" s="28">
        <v>0</v>
      </c>
      <c r="L30" s="28">
        <v>11163774.59</v>
      </c>
      <c r="M30" s="28">
        <v>10791.3</v>
      </c>
      <c r="N30" s="31">
        <v>32</v>
      </c>
      <c r="O30" s="28">
        <v>28562.73</v>
      </c>
    </row>
    <row r="31" spans="1:15" x14ac:dyDescent="0.25">
      <c r="A31" s="26" t="s">
        <v>260</v>
      </c>
      <c r="B31" s="27" t="s">
        <v>51</v>
      </c>
      <c r="C31" s="27" t="s">
        <v>53</v>
      </c>
      <c r="D31" s="6">
        <v>1430.1</v>
      </c>
      <c r="E31" s="6">
        <v>554.79999999999995</v>
      </c>
      <c r="F31" s="28">
        <v>10598.94675952</v>
      </c>
      <c r="G31" s="28">
        <v>705635.48</v>
      </c>
      <c r="H31" s="6">
        <v>1435</v>
      </c>
      <c r="I31" s="28">
        <v>16140566.92</v>
      </c>
      <c r="J31" s="28">
        <v>0</v>
      </c>
      <c r="K31" s="28">
        <v>0</v>
      </c>
      <c r="L31" s="28">
        <v>16140566.92</v>
      </c>
      <c r="M31" s="28">
        <v>10791.3</v>
      </c>
      <c r="N31" s="31">
        <v>35</v>
      </c>
      <c r="O31" s="28">
        <v>29677.05</v>
      </c>
    </row>
    <row r="32" spans="1:15" x14ac:dyDescent="0.25">
      <c r="A32" s="26" t="s">
        <v>261</v>
      </c>
      <c r="B32" s="27" t="s">
        <v>54</v>
      </c>
      <c r="C32" s="27" t="s">
        <v>55</v>
      </c>
      <c r="D32" s="6">
        <v>97</v>
      </c>
      <c r="E32" s="6">
        <v>67.7</v>
      </c>
      <c r="F32" s="28">
        <v>19866.792064059999</v>
      </c>
      <c r="G32" s="28">
        <v>161397.82</v>
      </c>
      <c r="H32" s="6">
        <v>97</v>
      </c>
      <c r="I32" s="28">
        <v>2193244.6800000002</v>
      </c>
      <c r="J32" s="28">
        <v>0</v>
      </c>
      <c r="K32" s="28">
        <v>0</v>
      </c>
      <c r="L32" s="28">
        <v>2193244.6800000002</v>
      </c>
      <c r="M32" s="28">
        <v>10791.3</v>
      </c>
      <c r="N32" s="31">
        <v>3</v>
      </c>
      <c r="O32" s="28">
        <v>4768.03</v>
      </c>
    </row>
    <row r="33" spans="1:15" x14ac:dyDescent="0.25">
      <c r="A33" s="26" t="s">
        <v>262</v>
      </c>
      <c r="B33" s="27" t="s">
        <v>54</v>
      </c>
      <c r="C33" s="27" t="s">
        <v>54</v>
      </c>
      <c r="D33" s="6">
        <v>168.4</v>
      </c>
      <c r="E33" s="6">
        <v>89.9</v>
      </c>
      <c r="F33" s="28">
        <v>18189.080118819998</v>
      </c>
      <c r="G33" s="28">
        <v>196223.8</v>
      </c>
      <c r="H33" s="6">
        <v>165</v>
      </c>
      <c r="I33" s="28">
        <v>3367995.65</v>
      </c>
      <c r="J33" s="28">
        <v>0</v>
      </c>
      <c r="K33" s="28">
        <v>0</v>
      </c>
      <c r="L33" s="28">
        <v>3367995.65</v>
      </c>
      <c r="M33" s="28">
        <v>10791.3</v>
      </c>
      <c r="N33" s="31">
        <v>6</v>
      </c>
      <c r="O33" s="28">
        <v>8730.76</v>
      </c>
    </row>
    <row r="34" spans="1:15" x14ac:dyDescent="0.25">
      <c r="A34" s="26" t="s">
        <v>263</v>
      </c>
      <c r="B34" s="27" t="s">
        <v>56</v>
      </c>
      <c r="C34" s="27" t="s">
        <v>56</v>
      </c>
      <c r="D34" s="6">
        <v>611.1</v>
      </c>
      <c r="E34" s="6">
        <v>189.2</v>
      </c>
      <c r="F34" s="28">
        <v>12095.4528594</v>
      </c>
      <c r="G34" s="28">
        <v>274615.15999999997</v>
      </c>
      <c r="H34" s="6">
        <v>589</v>
      </c>
      <c r="I34" s="28">
        <v>7965433.3600000003</v>
      </c>
      <c r="J34" s="28">
        <v>0</v>
      </c>
      <c r="K34" s="28">
        <v>0</v>
      </c>
      <c r="L34" s="28">
        <v>7965433.3600000003</v>
      </c>
      <c r="M34" s="28">
        <v>10791.3</v>
      </c>
      <c r="N34" s="31">
        <v>12</v>
      </c>
      <c r="O34" s="28">
        <v>11611.63</v>
      </c>
    </row>
    <row r="35" spans="1:15" x14ac:dyDescent="0.25">
      <c r="A35" s="26" t="s">
        <v>264</v>
      </c>
      <c r="B35" s="27" t="s">
        <v>57</v>
      </c>
      <c r="C35" s="27" t="s">
        <v>58</v>
      </c>
      <c r="D35" s="6">
        <v>974.9</v>
      </c>
      <c r="E35" s="6">
        <v>637.20000000000005</v>
      </c>
      <c r="F35" s="28">
        <v>10517.70762723</v>
      </c>
      <c r="G35" s="28">
        <v>948811.55</v>
      </c>
      <c r="H35" s="6">
        <v>927</v>
      </c>
      <c r="I35" s="28">
        <v>11661458.9</v>
      </c>
      <c r="J35" s="28">
        <v>0</v>
      </c>
      <c r="K35" s="28">
        <v>0</v>
      </c>
      <c r="L35" s="28">
        <v>11661458.9</v>
      </c>
      <c r="M35" s="28">
        <v>10791.3</v>
      </c>
      <c r="N35" s="31">
        <v>0</v>
      </c>
      <c r="O35" s="28">
        <v>0</v>
      </c>
    </row>
    <row r="36" spans="1:15" x14ac:dyDescent="0.25">
      <c r="A36" s="26" t="s">
        <v>265</v>
      </c>
      <c r="B36" s="27" t="s">
        <v>57</v>
      </c>
      <c r="C36" s="27" t="s">
        <v>59</v>
      </c>
      <c r="D36" s="6">
        <v>374.3</v>
      </c>
      <c r="E36" s="6">
        <v>222</v>
      </c>
      <c r="F36" s="28">
        <v>12712.009024360001</v>
      </c>
      <c r="G36" s="28">
        <v>361462.88</v>
      </c>
      <c r="H36" s="6">
        <v>363</v>
      </c>
      <c r="I36" s="28">
        <v>5298820.47</v>
      </c>
      <c r="J36" s="28">
        <v>0</v>
      </c>
      <c r="K36" s="28">
        <v>0</v>
      </c>
      <c r="L36" s="28">
        <v>5298820.47</v>
      </c>
      <c r="M36" s="28">
        <v>10791.3</v>
      </c>
      <c r="N36" s="31">
        <v>3</v>
      </c>
      <c r="O36" s="28">
        <v>3050.88</v>
      </c>
    </row>
    <row r="37" spans="1:15" x14ac:dyDescent="0.25">
      <c r="A37" s="26" t="s">
        <v>266</v>
      </c>
      <c r="B37" s="27" t="s">
        <v>57</v>
      </c>
      <c r="C37" s="27" t="s">
        <v>60</v>
      </c>
      <c r="D37" s="6">
        <v>176</v>
      </c>
      <c r="E37" s="6">
        <v>149</v>
      </c>
      <c r="F37" s="28">
        <v>17845.186809710001</v>
      </c>
      <c r="G37" s="28">
        <v>319071.94</v>
      </c>
      <c r="H37" s="6">
        <v>176</v>
      </c>
      <c r="I37" s="28">
        <v>3562680.05</v>
      </c>
      <c r="J37" s="28">
        <v>0</v>
      </c>
      <c r="K37" s="28">
        <v>0</v>
      </c>
      <c r="L37" s="28">
        <v>3562680.05</v>
      </c>
      <c r="M37" s="28">
        <v>10791.3</v>
      </c>
      <c r="N37" s="31">
        <v>2</v>
      </c>
      <c r="O37" s="28">
        <v>2855.23</v>
      </c>
    </row>
    <row r="38" spans="1:15" x14ac:dyDescent="0.25">
      <c r="A38" s="26" t="s">
        <v>267</v>
      </c>
      <c r="B38" s="27" t="s">
        <v>61</v>
      </c>
      <c r="C38" s="27" t="s">
        <v>62</v>
      </c>
      <c r="D38" s="6">
        <v>171.8</v>
      </c>
      <c r="E38" s="6">
        <v>149</v>
      </c>
      <c r="F38" s="28">
        <v>17672.460840719999</v>
      </c>
      <c r="G38" s="28">
        <v>315983.59999999998</v>
      </c>
      <c r="H38" s="6">
        <v>160</v>
      </c>
      <c r="I38" s="28">
        <v>3453526.17</v>
      </c>
      <c r="J38" s="28">
        <v>0</v>
      </c>
      <c r="K38" s="28">
        <v>0</v>
      </c>
      <c r="L38" s="28">
        <v>3453526.17</v>
      </c>
      <c r="M38" s="28">
        <v>10791.3</v>
      </c>
      <c r="N38" s="31">
        <v>1</v>
      </c>
      <c r="O38" s="28">
        <v>1413.8</v>
      </c>
    </row>
    <row r="39" spans="1:15" x14ac:dyDescent="0.25">
      <c r="A39" s="26" t="s">
        <v>268</v>
      </c>
      <c r="B39" s="27" t="s">
        <v>61</v>
      </c>
      <c r="C39" s="27" t="s">
        <v>63</v>
      </c>
      <c r="D39" s="6">
        <v>286</v>
      </c>
      <c r="E39" s="6">
        <v>235.8</v>
      </c>
      <c r="F39" s="28">
        <v>14079.63403042</v>
      </c>
      <c r="G39" s="28">
        <v>398397.32</v>
      </c>
      <c r="H39" s="6">
        <v>283</v>
      </c>
      <c r="I39" s="28">
        <v>4583460.9400000004</v>
      </c>
      <c r="J39" s="28">
        <v>0</v>
      </c>
      <c r="K39" s="28">
        <v>0</v>
      </c>
      <c r="L39" s="28">
        <v>4583460.9400000004</v>
      </c>
      <c r="M39" s="28">
        <v>10791.3</v>
      </c>
      <c r="N39" s="31">
        <v>21</v>
      </c>
      <c r="O39" s="28">
        <v>23653.79</v>
      </c>
    </row>
    <row r="40" spans="1:15" x14ac:dyDescent="0.25">
      <c r="A40" s="26" t="s">
        <v>269</v>
      </c>
      <c r="B40" s="27" t="s">
        <v>64</v>
      </c>
      <c r="C40" s="27" t="s">
        <v>64</v>
      </c>
      <c r="D40" s="6">
        <v>370</v>
      </c>
      <c r="E40" s="6">
        <v>217.4</v>
      </c>
      <c r="F40" s="28">
        <v>12884.38442575</v>
      </c>
      <c r="G40" s="28">
        <v>349092.37</v>
      </c>
      <c r="H40" s="6">
        <v>332</v>
      </c>
      <c r="I40" s="28">
        <v>5291522.8600000003</v>
      </c>
      <c r="J40" s="28">
        <v>0</v>
      </c>
      <c r="K40" s="28">
        <v>0</v>
      </c>
      <c r="L40" s="28">
        <v>5291522.8600000003</v>
      </c>
      <c r="M40" s="28">
        <v>10791.3</v>
      </c>
      <c r="N40" s="31">
        <v>1</v>
      </c>
      <c r="O40" s="28">
        <v>1030.75</v>
      </c>
    </row>
    <row r="41" spans="1:15" x14ac:dyDescent="0.25">
      <c r="A41" s="26" t="s">
        <v>270</v>
      </c>
      <c r="B41" s="27" t="s">
        <v>65</v>
      </c>
      <c r="C41" s="27" t="s">
        <v>66</v>
      </c>
      <c r="D41" s="6">
        <v>310.39999999999998</v>
      </c>
      <c r="E41" s="6">
        <v>141.9</v>
      </c>
      <c r="F41" s="28">
        <v>14148.61925263</v>
      </c>
      <c r="G41" s="28">
        <v>271817.98</v>
      </c>
      <c r="H41" s="6">
        <v>275</v>
      </c>
      <c r="I41" s="28">
        <v>4805109.58</v>
      </c>
      <c r="J41" s="28">
        <v>0</v>
      </c>
      <c r="K41" s="28">
        <v>0</v>
      </c>
      <c r="L41" s="28">
        <v>4805109.58</v>
      </c>
      <c r="M41" s="28">
        <v>10791.3</v>
      </c>
      <c r="N41" s="31">
        <v>0</v>
      </c>
      <c r="O41" s="28">
        <v>0</v>
      </c>
    </row>
    <row r="42" spans="1:15" x14ac:dyDescent="0.25">
      <c r="A42" s="26" t="s">
        <v>271</v>
      </c>
      <c r="B42" s="27" t="s">
        <v>67</v>
      </c>
      <c r="C42" s="27" t="s">
        <v>67</v>
      </c>
      <c r="D42" s="6">
        <v>4561.3</v>
      </c>
      <c r="E42" s="6">
        <v>2541.6</v>
      </c>
      <c r="F42" s="28">
        <v>10253.66884491</v>
      </c>
      <c r="G42" s="28">
        <v>3532414.05</v>
      </c>
      <c r="H42" s="6">
        <v>4201</v>
      </c>
      <c r="I42" s="28">
        <v>51205864.93</v>
      </c>
      <c r="J42" s="28">
        <v>0</v>
      </c>
      <c r="K42" s="28">
        <v>0</v>
      </c>
      <c r="L42" s="28">
        <v>51205864.93</v>
      </c>
      <c r="M42" s="28">
        <v>10791.3</v>
      </c>
      <c r="N42" s="31">
        <v>117</v>
      </c>
      <c r="O42" s="28">
        <v>95974.34</v>
      </c>
    </row>
    <row r="43" spans="1:15" x14ac:dyDescent="0.25">
      <c r="A43" s="26" t="s">
        <v>272</v>
      </c>
      <c r="B43" s="27" t="s">
        <v>68</v>
      </c>
      <c r="C43" s="27" t="s">
        <v>68</v>
      </c>
      <c r="D43" s="6">
        <v>85190.6</v>
      </c>
      <c r="E43" s="6">
        <v>53422.8</v>
      </c>
      <c r="F43" s="28">
        <v>10696.450573059999</v>
      </c>
      <c r="G43" s="28">
        <v>77354629.760000005</v>
      </c>
      <c r="H43" s="6">
        <v>84960</v>
      </c>
      <c r="I43" s="28">
        <v>1002592494.67</v>
      </c>
      <c r="J43" s="28">
        <v>0</v>
      </c>
      <c r="K43" s="28">
        <v>0</v>
      </c>
      <c r="L43" s="28">
        <v>1002592494.67</v>
      </c>
      <c r="M43" s="28">
        <v>10791.3</v>
      </c>
      <c r="N43" s="31">
        <v>16832</v>
      </c>
      <c r="O43" s="28">
        <v>14403412.48</v>
      </c>
    </row>
    <row r="44" spans="1:15" x14ac:dyDescent="0.25">
      <c r="A44" s="26" t="s">
        <v>273</v>
      </c>
      <c r="B44" s="27" t="s">
        <v>69</v>
      </c>
      <c r="C44" s="27" t="s">
        <v>69</v>
      </c>
      <c r="D44" s="6">
        <v>242.5</v>
      </c>
      <c r="E44" s="6">
        <v>146.4</v>
      </c>
      <c r="F44" s="28">
        <v>16162.82827862</v>
      </c>
      <c r="G44" s="28">
        <v>283948.57</v>
      </c>
      <c r="H44" s="6">
        <v>243</v>
      </c>
      <c r="I44" s="28">
        <v>4322713.3099999996</v>
      </c>
      <c r="J44" s="28">
        <v>0</v>
      </c>
      <c r="K44" s="28">
        <v>0</v>
      </c>
      <c r="L44" s="28">
        <v>4322713.3099999996</v>
      </c>
      <c r="M44" s="28">
        <v>10791.3</v>
      </c>
      <c r="N44" s="31">
        <v>0</v>
      </c>
      <c r="O44" s="28">
        <v>0</v>
      </c>
    </row>
    <row r="45" spans="1:15" x14ac:dyDescent="0.25">
      <c r="A45" s="26" t="s">
        <v>274</v>
      </c>
      <c r="B45" s="27" t="s">
        <v>70</v>
      </c>
      <c r="C45" s="27" t="s">
        <v>70</v>
      </c>
      <c r="D45" s="6">
        <v>62882.8</v>
      </c>
      <c r="E45" s="6">
        <v>10837</v>
      </c>
      <c r="F45" s="28">
        <v>10696.450573059999</v>
      </c>
      <c r="G45" s="28">
        <v>13910092.18</v>
      </c>
      <c r="H45" s="6">
        <v>61797</v>
      </c>
      <c r="I45" s="28">
        <v>687257687.21000004</v>
      </c>
      <c r="J45" s="28">
        <v>0</v>
      </c>
      <c r="K45" s="28">
        <v>0</v>
      </c>
      <c r="L45" s="28">
        <v>687257687.21000004</v>
      </c>
      <c r="M45" s="28">
        <v>10791.3</v>
      </c>
      <c r="N45" s="31">
        <v>1715</v>
      </c>
      <c r="O45" s="28">
        <v>1467553.02</v>
      </c>
    </row>
    <row r="46" spans="1:15" x14ac:dyDescent="0.25">
      <c r="A46" s="26" t="s">
        <v>275</v>
      </c>
      <c r="B46" s="27" t="s">
        <v>71</v>
      </c>
      <c r="C46" s="27" t="s">
        <v>71</v>
      </c>
      <c r="D46" s="6">
        <v>6596.6</v>
      </c>
      <c r="E46" s="6">
        <v>2707.8</v>
      </c>
      <c r="F46" s="28">
        <v>11225.24085756</v>
      </c>
      <c r="G46" s="28">
        <v>3647484.86</v>
      </c>
      <c r="H46" s="6">
        <v>6340</v>
      </c>
      <c r="I46" s="28">
        <v>78695008.840000004</v>
      </c>
      <c r="J46" s="28">
        <v>0</v>
      </c>
      <c r="K46" s="28">
        <v>0</v>
      </c>
      <c r="L46" s="28">
        <v>78695008.840000004</v>
      </c>
      <c r="M46" s="28">
        <v>10791.3</v>
      </c>
      <c r="N46" s="31">
        <v>1141</v>
      </c>
      <c r="O46" s="28">
        <v>1024639.99</v>
      </c>
    </row>
    <row r="47" spans="1:15" x14ac:dyDescent="0.25">
      <c r="A47" s="26" t="s">
        <v>276</v>
      </c>
      <c r="B47" s="27" t="s">
        <v>72</v>
      </c>
      <c r="C47" s="27" t="s">
        <v>73</v>
      </c>
      <c r="D47" s="6">
        <v>2345.6</v>
      </c>
      <c r="E47" s="6">
        <v>600.70000000000005</v>
      </c>
      <c r="F47" s="28">
        <v>10858.03357953</v>
      </c>
      <c r="G47" s="28">
        <v>782690.49</v>
      </c>
      <c r="H47" s="6">
        <v>2538</v>
      </c>
      <c r="I47" s="28">
        <v>26702572.199999999</v>
      </c>
      <c r="J47" s="28">
        <v>0</v>
      </c>
      <c r="K47" s="28">
        <v>0</v>
      </c>
      <c r="L47" s="28">
        <v>26702572.199999999</v>
      </c>
      <c r="M47" s="28">
        <v>10791.3</v>
      </c>
      <c r="N47" s="31">
        <v>32</v>
      </c>
      <c r="O47" s="28">
        <v>27796.57</v>
      </c>
    </row>
    <row r="48" spans="1:15" x14ac:dyDescent="0.25">
      <c r="A48" s="26" t="s">
        <v>277</v>
      </c>
      <c r="B48" s="27" t="s">
        <v>72</v>
      </c>
      <c r="C48" s="27" t="s">
        <v>74</v>
      </c>
      <c r="D48" s="6">
        <v>272</v>
      </c>
      <c r="E48" s="6">
        <v>101</v>
      </c>
      <c r="F48" s="28">
        <v>15590.060765050001</v>
      </c>
      <c r="G48" s="28">
        <v>206216.39</v>
      </c>
      <c r="H48" s="6">
        <v>250</v>
      </c>
      <c r="I48" s="28">
        <v>4579745.74</v>
      </c>
      <c r="J48" s="28">
        <v>0</v>
      </c>
      <c r="K48" s="28">
        <v>0</v>
      </c>
      <c r="L48" s="28">
        <v>4579745.74</v>
      </c>
      <c r="M48" s="28">
        <v>10791.3</v>
      </c>
      <c r="N48" s="31">
        <v>4</v>
      </c>
      <c r="O48" s="28">
        <v>4988.82</v>
      </c>
    </row>
    <row r="49" spans="1:15" x14ac:dyDescent="0.25">
      <c r="A49" s="26" t="s">
        <v>278</v>
      </c>
      <c r="B49" s="27" t="s">
        <v>72</v>
      </c>
      <c r="C49" s="27" t="s">
        <v>75</v>
      </c>
      <c r="D49" s="6">
        <v>308.5</v>
      </c>
      <c r="E49" s="6">
        <v>189</v>
      </c>
      <c r="F49" s="28">
        <v>14766.767275820001</v>
      </c>
      <c r="G49" s="28">
        <v>334910.28000000003</v>
      </c>
      <c r="H49" s="6">
        <v>299</v>
      </c>
      <c r="I49" s="28">
        <v>5039228.38</v>
      </c>
      <c r="J49" s="28">
        <v>0</v>
      </c>
      <c r="K49" s="28">
        <v>0</v>
      </c>
      <c r="L49" s="28">
        <v>5039228.38</v>
      </c>
      <c r="M49" s="28">
        <v>10791.3</v>
      </c>
      <c r="N49" s="31">
        <v>3</v>
      </c>
      <c r="O49" s="28">
        <v>3544.02</v>
      </c>
    </row>
    <row r="50" spans="1:15" x14ac:dyDescent="0.25">
      <c r="A50" s="26" t="s">
        <v>279</v>
      </c>
      <c r="B50" s="27" t="s">
        <v>72</v>
      </c>
      <c r="C50" s="27" t="s">
        <v>72</v>
      </c>
      <c r="D50" s="6">
        <v>255</v>
      </c>
      <c r="E50" s="6">
        <v>86.6</v>
      </c>
      <c r="F50" s="28">
        <v>16102.742793040001</v>
      </c>
      <c r="G50" s="28">
        <v>180872.84</v>
      </c>
      <c r="H50" s="6">
        <v>252</v>
      </c>
      <c r="I50" s="28">
        <v>4395372.24</v>
      </c>
      <c r="J50" s="28">
        <v>0</v>
      </c>
      <c r="K50" s="28">
        <v>0</v>
      </c>
      <c r="L50" s="28">
        <v>4395372.24</v>
      </c>
      <c r="M50" s="28">
        <v>10791.3</v>
      </c>
      <c r="N50" s="31">
        <v>1</v>
      </c>
      <c r="O50" s="28">
        <v>1288.22</v>
      </c>
    </row>
    <row r="51" spans="1:15" x14ac:dyDescent="0.25">
      <c r="A51" s="26" t="s">
        <v>280</v>
      </c>
      <c r="B51" s="27" t="s">
        <v>72</v>
      </c>
      <c r="C51" s="27" t="s">
        <v>76</v>
      </c>
      <c r="D51" s="6">
        <v>73</v>
      </c>
      <c r="E51" s="6">
        <v>40</v>
      </c>
      <c r="F51" s="28">
        <v>22354.280228579999</v>
      </c>
      <c r="G51" s="28">
        <v>107300.55</v>
      </c>
      <c r="H51" s="6">
        <v>73</v>
      </c>
      <c r="I51" s="28">
        <v>1848104.72</v>
      </c>
      <c r="J51" s="28">
        <v>0</v>
      </c>
      <c r="K51" s="28">
        <v>0</v>
      </c>
      <c r="L51" s="28">
        <v>1848104.72</v>
      </c>
      <c r="M51" s="28">
        <v>10791.3</v>
      </c>
      <c r="N51" s="31">
        <v>5</v>
      </c>
      <c r="O51" s="28">
        <v>8941.7099999999991</v>
      </c>
    </row>
    <row r="52" spans="1:15" x14ac:dyDescent="0.25">
      <c r="A52" s="26" t="s">
        <v>281</v>
      </c>
      <c r="B52" s="27" t="s">
        <v>77</v>
      </c>
      <c r="C52" s="27" t="s">
        <v>78</v>
      </c>
      <c r="D52" s="6">
        <v>415.1</v>
      </c>
      <c r="E52" s="6">
        <v>210.9</v>
      </c>
      <c r="F52" s="28">
        <v>13028.802140219999</v>
      </c>
      <c r="G52" s="28">
        <v>376137.32</v>
      </c>
      <c r="H52" s="6">
        <v>392</v>
      </c>
      <c r="I52" s="28">
        <v>5985012.9400000004</v>
      </c>
      <c r="J52" s="28">
        <v>0</v>
      </c>
      <c r="K52" s="28">
        <v>0</v>
      </c>
      <c r="L52" s="28">
        <v>5985012.9400000004</v>
      </c>
      <c r="M52" s="28">
        <v>10791.3</v>
      </c>
      <c r="N52" s="31">
        <v>5</v>
      </c>
      <c r="O52" s="28">
        <v>5211.5200000000004</v>
      </c>
    </row>
    <row r="53" spans="1:15" x14ac:dyDescent="0.25">
      <c r="A53" s="26" t="s">
        <v>282</v>
      </c>
      <c r="B53" s="27" t="s">
        <v>77</v>
      </c>
      <c r="C53" s="27" t="s">
        <v>79</v>
      </c>
      <c r="D53" s="6">
        <v>12362.6</v>
      </c>
      <c r="E53" s="6">
        <v>8190.7</v>
      </c>
      <c r="F53" s="28">
        <v>10374.426720920001</v>
      </c>
      <c r="G53" s="28">
        <v>12462171</v>
      </c>
      <c r="H53" s="6">
        <v>12203</v>
      </c>
      <c r="I53" s="28">
        <v>141643828.56999999</v>
      </c>
      <c r="J53" s="28">
        <v>0</v>
      </c>
      <c r="K53" s="28">
        <v>0</v>
      </c>
      <c r="L53" s="28">
        <v>141643828.56999999</v>
      </c>
      <c r="M53" s="28">
        <v>10791.3</v>
      </c>
      <c r="N53" s="31">
        <v>1133</v>
      </c>
      <c r="O53" s="28">
        <v>940338.04</v>
      </c>
    </row>
    <row r="54" spans="1:15" x14ac:dyDescent="0.25">
      <c r="A54" s="26" t="s">
        <v>283</v>
      </c>
      <c r="B54" s="27" t="s">
        <v>77</v>
      </c>
      <c r="C54" s="27" t="s">
        <v>80</v>
      </c>
      <c r="D54" s="6">
        <v>9147.9</v>
      </c>
      <c r="E54" s="6">
        <v>4309.8</v>
      </c>
      <c r="F54" s="28">
        <v>10144.28370208</v>
      </c>
      <c r="G54" s="28">
        <v>5652741.3300000001</v>
      </c>
      <c r="H54" s="6">
        <v>8912</v>
      </c>
      <c r="I54" s="28">
        <v>98638408.060000002</v>
      </c>
      <c r="J54" s="28">
        <v>0</v>
      </c>
      <c r="K54" s="28">
        <v>0</v>
      </c>
      <c r="L54" s="28">
        <v>98638408.060000002</v>
      </c>
      <c r="M54" s="28">
        <v>10791.3</v>
      </c>
      <c r="N54" s="31">
        <v>201</v>
      </c>
      <c r="O54" s="28">
        <v>163120.07999999999</v>
      </c>
    </row>
    <row r="55" spans="1:15" x14ac:dyDescent="0.25">
      <c r="A55" s="26" t="s">
        <v>284</v>
      </c>
      <c r="B55" s="27" t="s">
        <v>77</v>
      </c>
      <c r="C55" s="27" t="s">
        <v>81</v>
      </c>
      <c r="D55" s="6">
        <v>7638.4</v>
      </c>
      <c r="E55" s="6">
        <v>3643.9</v>
      </c>
      <c r="F55" s="28">
        <v>10219.65394629</v>
      </c>
      <c r="G55" s="28">
        <v>4881337.75</v>
      </c>
      <c r="H55" s="6">
        <v>7426</v>
      </c>
      <c r="I55" s="28">
        <v>83087915.219999999</v>
      </c>
      <c r="J55" s="28">
        <v>0</v>
      </c>
      <c r="K55" s="28">
        <v>0</v>
      </c>
      <c r="L55" s="28">
        <v>83087915.219999999</v>
      </c>
      <c r="M55" s="28">
        <v>10791.3</v>
      </c>
      <c r="N55" s="31">
        <v>184</v>
      </c>
      <c r="O55" s="28">
        <v>150433.31</v>
      </c>
    </row>
    <row r="56" spans="1:15" x14ac:dyDescent="0.25">
      <c r="A56" s="26" t="s">
        <v>285</v>
      </c>
      <c r="B56" s="27" t="s">
        <v>77</v>
      </c>
      <c r="C56" s="27" t="s">
        <v>82</v>
      </c>
      <c r="D56" s="6">
        <v>24869.599999999999</v>
      </c>
      <c r="E56" s="6">
        <v>14504.6</v>
      </c>
      <c r="F56" s="28">
        <v>10387.21122909</v>
      </c>
      <c r="G56" s="28">
        <v>19788568.550000001</v>
      </c>
      <c r="H56" s="6">
        <v>25151</v>
      </c>
      <c r="I56" s="28">
        <v>279409600.47000003</v>
      </c>
      <c r="J56" s="28">
        <v>0</v>
      </c>
      <c r="K56" s="28">
        <v>0</v>
      </c>
      <c r="L56" s="28">
        <v>279409600.47000003</v>
      </c>
      <c r="M56" s="28">
        <v>10791.3</v>
      </c>
      <c r="N56" s="31">
        <v>1622</v>
      </c>
      <c r="O56" s="28">
        <v>1347844.53</v>
      </c>
    </row>
    <row r="57" spans="1:15" x14ac:dyDescent="0.25">
      <c r="A57" s="26" t="s">
        <v>286</v>
      </c>
      <c r="B57" s="27" t="s">
        <v>77</v>
      </c>
      <c r="C57" s="27" t="s">
        <v>83</v>
      </c>
      <c r="D57" s="6">
        <v>3614.2</v>
      </c>
      <c r="E57" s="6">
        <v>787.6</v>
      </c>
      <c r="F57" s="28">
        <v>10420.538128149999</v>
      </c>
      <c r="G57" s="28">
        <v>984865.9</v>
      </c>
      <c r="H57" s="6">
        <v>3606</v>
      </c>
      <c r="I57" s="28">
        <v>38997103.259999998</v>
      </c>
      <c r="J57" s="28">
        <v>0</v>
      </c>
      <c r="K57" s="28">
        <v>0</v>
      </c>
      <c r="L57" s="28">
        <v>38997103.259999998</v>
      </c>
      <c r="M57" s="28">
        <v>10791.3</v>
      </c>
      <c r="N57" s="31">
        <v>53</v>
      </c>
      <c r="O57" s="28">
        <v>44183.08</v>
      </c>
    </row>
    <row r="58" spans="1:15" x14ac:dyDescent="0.25">
      <c r="A58" s="26" t="s">
        <v>287</v>
      </c>
      <c r="B58" s="27" t="s">
        <v>77</v>
      </c>
      <c r="C58" s="27" t="s">
        <v>84</v>
      </c>
      <c r="D58" s="6">
        <v>1242.8</v>
      </c>
      <c r="E58" s="6">
        <v>423.3</v>
      </c>
      <c r="F58" s="28">
        <v>11104.21260201</v>
      </c>
      <c r="G58" s="28">
        <v>649501</v>
      </c>
      <c r="H58" s="6">
        <v>1113</v>
      </c>
      <c r="I58" s="28">
        <v>14452481.43</v>
      </c>
      <c r="J58" s="28">
        <v>0</v>
      </c>
      <c r="K58" s="28">
        <v>0</v>
      </c>
      <c r="L58" s="28">
        <v>14452481.43</v>
      </c>
      <c r="M58" s="28">
        <v>10791.3</v>
      </c>
      <c r="N58" s="31">
        <v>3</v>
      </c>
      <c r="O58" s="28">
        <v>2665.01</v>
      </c>
    </row>
    <row r="59" spans="1:15" x14ac:dyDescent="0.25">
      <c r="A59" s="26" t="s">
        <v>288</v>
      </c>
      <c r="B59" s="27" t="s">
        <v>77</v>
      </c>
      <c r="C59" s="27" t="s">
        <v>85</v>
      </c>
      <c r="D59" s="6">
        <v>25615.3</v>
      </c>
      <c r="E59" s="6">
        <v>5890.6</v>
      </c>
      <c r="F59" s="28">
        <v>10467.31978141</v>
      </c>
      <c r="G59" s="28">
        <v>7399055.2699999996</v>
      </c>
      <c r="H59" s="6">
        <v>26157</v>
      </c>
      <c r="I59" s="28">
        <v>275729638.49000001</v>
      </c>
      <c r="J59" s="28">
        <v>0</v>
      </c>
      <c r="K59" s="28">
        <v>0</v>
      </c>
      <c r="L59" s="28">
        <v>275729638.49000001</v>
      </c>
      <c r="M59" s="28">
        <v>10791.3</v>
      </c>
      <c r="N59" s="31">
        <v>448</v>
      </c>
      <c r="O59" s="28">
        <v>375148.74</v>
      </c>
    </row>
    <row r="60" spans="1:15" x14ac:dyDescent="0.25">
      <c r="A60" s="26" t="s">
        <v>289</v>
      </c>
      <c r="B60" s="27" t="s">
        <v>77</v>
      </c>
      <c r="C60" s="27" t="s">
        <v>86</v>
      </c>
      <c r="D60" s="6">
        <v>921.6</v>
      </c>
      <c r="E60" s="6">
        <v>552.5</v>
      </c>
      <c r="F60" s="28">
        <v>11311.26820042</v>
      </c>
      <c r="G60" s="28">
        <v>826721.39</v>
      </c>
      <c r="H60" s="6">
        <v>923</v>
      </c>
      <c r="I60" s="28">
        <v>11755611.67</v>
      </c>
      <c r="J60" s="28">
        <v>0</v>
      </c>
      <c r="K60" s="28">
        <v>0</v>
      </c>
      <c r="L60" s="28">
        <v>11755611.67</v>
      </c>
      <c r="M60" s="28">
        <v>10791.3</v>
      </c>
      <c r="N60" s="31">
        <v>78</v>
      </c>
      <c r="O60" s="28">
        <v>70582.31</v>
      </c>
    </row>
    <row r="61" spans="1:15" x14ac:dyDescent="0.25">
      <c r="A61" s="26" t="s">
        <v>290</v>
      </c>
      <c r="B61" s="27" t="s">
        <v>77</v>
      </c>
      <c r="C61" s="27" t="s">
        <v>87</v>
      </c>
      <c r="D61" s="6">
        <v>587.5</v>
      </c>
      <c r="E61" s="6">
        <v>169</v>
      </c>
      <c r="F61" s="28">
        <v>12064.92692871</v>
      </c>
      <c r="G61" s="28">
        <v>319667.49</v>
      </c>
      <c r="H61" s="6">
        <v>573</v>
      </c>
      <c r="I61" s="28">
        <v>7609459.7699999996</v>
      </c>
      <c r="J61" s="28">
        <v>0</v>
      </c>
      <c r="K61" s="28">
        <v>0</v>
      </c>
      <c r="L61" s="28">
        <v>7609459.7699999996</v>
      </c>
      <c r="M61" s="28">
        <v>10791.3</v>
      </c>
      <c r="N61" s="31">
        <v>6</v>
      </c>
      <c r="O61" s="28">
        <v>5791.16</v>
      </c>
    </row>
    <row r="62" spans="1:15" x14ac:dyDescent="0.25">
      <c r="A62" s="26" t="s">
        <v>291</v>
      </c>
      <c r="B62" s="27" t="s">
        <v>77</v>
      </c>
      <c r="C62" s="27" t="s">
        <v>88</v>
      </c>
      <c r="D62" s="6">
        <v>258.2</v>
      </c>
      <c r="E62" s="6">
        <v>188.3</v>
      </c>
      <c r="F62" s="28">
        <v>15706.045909799999</v>
      </c>
      <c r="G62" s="28">
        <v>354893.81</v>
      </c>
      <c r="H62" s="6">
        <v>251</v>
      </c>
      <c r="I62" s="28">
        <v>4550589.7699999996</v>
      </c>
      <c r="J62" s="28">
        <v>0</v>
      </c>
      <c r="K62" s="28">
        <v>0</v>
      </c>
      <c r="L62" s="28">
        <v>4550589.7699999996</v>
      </c>
      <c r="M62" s="28">
        <v>10791.3</v>
      </c>
      <c r="N62" s="31">
        <v>15</v>
      </c>
      <c r="O62" s="28">
        <v>18847.259999999998</v>
      </c>
    </row>
    <row r="63" spans="1:15" x14ac:dyDescent="0.25">
      <c r="A63" s="26" t="s">
        <v>292</v>
      </c>
      <c r="B63" s="27" t="s">
        <v>77</v>
      </c>
      <c r="C63" s="27" t="s">
        <v>89</v>
      </c>
      <c r="D63" s="6">
        <v>6283.6</v>
      </c>
      <c r="E63" s="6">
        <v>1084.3</v>
      </c>
      <c r="F63" s="28">
        <v>10525.500535679999</v>
      </c>
      <c r="G63" s="28">
        <v>1369536.03</v>
      </c>
      <c r="H63" s="6">
        <v>6330</v>
      </c>
      <c r="I63" s="28">
        <v>67788466.930000007</v>
      </c>
      <c r="J63" s="28">
        <v>0</v>
      </c>
      <c r="K63" s="28">
        <v>0</v>
      </c>
      <c r="L63" s="28">
        <v>67788466.930000007</v>
      </c>
      <c r="M63" s="28">
        <v>10791.3</v>
      </c>
      <c r="N63" s="31">
        <v>68</v>
      </c>
      <c r="O63" s="28">
        <v>57258.720000000001</v>
      </c>
    </row>
    <row r="64" spans="1:15" x14ac:dyDescent="0.25">
      <c r="A64" s="26" t="s">
        <v>293</v>
      </c>
      <c r="B64" s="27" t="s">
        <v>77</v>
      </c>
      <c r="C64" s="27" t="s">
        <v>90</v>
      </c>
      <c r="D64" s="6">
        <v>33191.699999999997</v>
      </c>
      <c r="E64" s="6">
        <v>13237</v>
      </c>
      <c r="F64" s="28">
        <v>10411.41719446</v>
      </c>
      <c r="G64" s="28">
        <v>16692440.91</v>
      </c>
      <c r="H64" s="6">
        <v>26030</v>
      </c>
      <c r="I64" s="28">
        <v>360777453.82999998</v>
      </c>
      <c r="J64" s="28">
        <v>0</v>
      </c>
      <c r="K64" s="28">
        <v>0</v>
      </c>
      <c r="L64" s="28">
        <v>360777453.82999998</v>
      </c>
      <c r="M64" s="28">
        <v>10791.3</v>
      </c>
      <c r="N64" s="31">
        <v>681</v>
      </c>
      <c r="O64" s="28">
        <v>567214.01</v>
      </c>
    </row>
    <row r="65" spans="1:15" x14ac:dyDescent="0.25">
      <c r="A65" s="26" t="s">
        <v>294</v>
      </c>
      <c r="B65" s="27" t="s">
        <v>77</v>
      </c>
      <c r="C65" s="27" t="s">
        <v>91</v>
      </c>
      <c r="D65" s="6">
        <v>93.1</v>
      </c>
      <c r="E65" s="6">
        <v>51.9</v>
      </c>
      <c r="F65" s="28">
        <v>21489.770914910001</v>
      </c>
      <c r="G65" s="28">
        <v>133838.29</v>
      </c>
      <c r="H65" s="6">
        <v>84</v>
      </c>
      <c r="I65" s="28">
        <v>2216243.83</v>
      </c>
      <c r="J65" s="28">
        <v>0</v>
      </c>
      <c r="K65" s="28">
        <v>0</v>
      </c>
      <c r="L65" s="28">
        <v>2216243.83</v>
      </c>
      <c r="M65" s="28">
        <v>10791.3</v>
      </c>
      <c r="N65" s="31">
        <v>1</v>
      </c>
      <c r="O65" s="28">
        <v>1719.18</v>
      </c>
    </row>
    <row r="66" spans="1:15" x14ac:dyDescent="0.25">
      <c r="A66" s="26" t="s">
        <v>295</v>
      </c>
      <c r="B66" s="27" t="s">
        <v>77</v>
      </c>
      <c r="C66" s="27" t="s">
        <v>92</v>
      </c>
      <c r="D66" s="6">
        <v>364.5</v>
      </c>
      <c r="E66" s="6">
        <v>229.6</v>
      </c>
      <c r="F66" s="28">
        <v>13504.14804613</v>
      </c>
      <c r="G66" s="28">
        <v>386793.87</v>
      </c>
      <c r="H66" s="6">
        <v>361</v>
      </c>
      <c r="I66" s="28">
        <v>5420079.1200000001</v>
      </c>
      <c r="J66" s="28">
        <v>0</v>
      </c>
      <c r="K66" s="28">
        <v>0</v>
      </c>
      <c r="L66" s="28">
        <v>5420079.1200000001</v>
      </c>
      <c r="M66" s="28">
        <v>10791.3</v>
      </c>
      <c r="N66" s="31">
        <v>11</v>
      </c>
      <c r="O66" s="28">
        <v>11883.65</v>
      </c>
    </row>
    <row r="67" spans="1:15" x14ac:dyDescent="0.25">
      <c r="A67" s="26" t="s">
        <v>296</v>
      </c>
      <c r="B67" s="27" t="s">
        <v>93</v>
      </c>
      <c r="C67" s="27" t="s">
        <v>94</v>
      </c>
      <c r="D67" s="6">
        <v>3196.7</v>
      </c>
      <c r="E67" s="6">
        <v>1822.9</v>
      </c>
      <c r="F67" s="28">
        <v>10033.1894978</v>
      </c>
      <c r="G67" s="28">
        <v>2520590.19</v>
      </c>
      <c r="H67" s="6">
        <v>3074</v>
      </c>
      <c r="I67" s="28">
        <v>35189237.409999996</v>
      </c>
      <c r="J67" s="28">
        <v>0</v>
      </c>
      <c r="K67" s="28">
        <v>0</v>
      </c>
      <c r="L67" s="28">
        <v>35189237.409999996</v>
      </c>
      <c r="M67" s="28">
        <v>10791.3</v>
      </c>
      <c r="N67" s="31">
        <v>11</v>
      </c>
      <c r="O67" s="28">
        <v>8829.2099999999991</v>
      </c>
    </row>
    <row r="68" spans="1:15" x14ac:dyDescent="0.25">
      <c r="A68" s="26" t="s">
        <v>297</v>
      </c>
      <c r="B68" s="27" t="s">
        <v>93</v>
      </c>
      <c r="C68" s="27" t="s">
        <v>95</v>
      </c>
      <c r="D68" s="6">
        <v>1278.4000000000001</v>
      </c>
      <c r="E68" s="6">
        <v>685.4</v>
      </c>
      <c r="F68" s="28">
        <v>10526.90611731</v>
      </c>
      <c r="G68" s="28">
        <v>919624.07</v>
      </c>
      <c r="H68" s="6">
        <v>1193</v>
      </c>
      <c r="I68" s="28">
        <v>14609283.02</v>
      </c>
      <c r="J68" s="28">
        <v>0</v>
      </c>
      <c r="K68" s="28">
        <v>0</v>
      </c>
      <c r="L68" s="28">
        <v>14609283.02</v>
      </c>
      <c r="M68" s="28">
        <v>10791.3</v>
      </c>
      <c r="N68" s="31">
        <v>9</v>
      </c>
      <c r="O68" s="28">
        <v>7579.37</v>
      </c>
    </row>
    <row r="69" spans="1:15" x14ac:dyDescent="0.25">
      <c r="A69" s="26" t="s">
        <v>298</v>
      </c>
      <c r="B69" s="27" t="s">
        <v>93</v>
      </c>
      <c r="C69" s="27" t="s">
        <v>96</v>
      </c>
      <c r="D69" s="6">
        <v>168.4</v>
      </c>
      <c r="E69" s="6">
        <v>92.1</v>
      </c>
      <c r="F69" s="28">
        <v>18255.928902570002</v>
      </c>
      <c r="G69" s="28">
        <v>222193.5</v>
      </c>
      <c r="H69" s="6">
        <v>144</v>
      </c>
      <c r="I69" s="28">
        <v>3397952.4</v>
      </c>
      <c r="J69" s="28">
        <v>0</v>
      </c>
      <c r="K69" s="28">
        <v>0</v>
      </c>
      <c r="L69" s="28">
        <v>3397952.4</v>
      </c>
      <c r="M69" s="28">
        <v>10791.3</v>
      </c>
      <c r="N69" s="31">
        <v>1</v>
      </c>
      <c r="O69" s="28">
        <v>1460.47</v>
      </c>
    </row>
    <row r="70" spans="1:15" x14ac:dyDescent="0.25">
      <c r="A70" s="26" t="s">
        <v>299</v>
      </c>
      <c r="B70" s="27" t="s">
        <v>97</v>
      </c>
      <c r="C70" s="27" t="s">
        <v>98</v>
      </c>
      <c r="D70" s="6">
        <v>5903.9</v>
      </c>
      <c r="E70" s="6">
        <v>2954.2</v>
      </c>
      <c r="F70" s="28">
        <v>11130.64879517</v>
      </c>
      <c r="G70" s="28">
        <v>3991215.35</v>
      </c>
      <c r="H70" s="6">
        <v>5753</v>
      </c>
      <c r="I70" s="28">
        <v>71765641.579999998</v>
      </c>
      <c r="J70" s="28">
        <v>0</v>
      </c>
      <c r="K70" s="28">
        <v>0</v>
      </c>
      <c r="L70" s="28">
        <v>71765641.579999998</v>
      </c>
      <c r="M70" s="28">
        <v>10791.3</v>
      </c>
      <c r="N70" s="31">
        <v>1133</v>
      </c>
      <c r="O70" s="28">
        <v>1008882.01</v>
      </c>
    </row>
    <row r="71" spans="1:15" x14ac:dyDescent="0.25">
      <c r="A71" s="26" t="s">
        <v>300</v>
      </c>
      <c r="B71" s="27" t="s">
        <v>97</v>
      </c>
      <c r="C71" s="27" t="s">
        <v>99</v>
      </c>
      <c r="D71" s="6">
        <v>4493</v>
      </c>
      <c r="E71" s="6">
        <v>2229.8000000000002</v>
      </c>
      <c r="F71" s="28">
        <v>10348.12076639</v>
      </c>
      <c r="G71" s="28">
        <v>2795553.93</v>
      </c>
      <c r="H71" s="6">
        <v>4379</v>
      </c>
      <c r="I71" s="28">
        <v>50720993.07</v>
      </c>
      <c r="J71" s="28">
        <v>0</v>
      </c>
      <c r="K71" s="28">
        <v>0</v>
      </c>
      <c r="L71" s="28">
        <v>50720993.07</v>
      </c>
      <c r="M71" s="28">
        <v>10791.3</v>
      </c>
      <c r="N71" s="31">
        <v>764</v>
      </c>
      <c r="O71" s="28">
        <v>632477.14</v>
      </c>
    </row>
    <row r="72" spans="1:15" x14ac:dyDescent="0.25">
      <c r="A72" s="26" t="s">
        <v>301</v>
      </c>
      <c r="B72" s="27" t="s">
        <v>97</v>
      </c>
      <c r="C72" s="27" t="s">
        <v>100</v>
      </c>
      <c r="D72" s="6">
        <v>1151.0999999999999</v>
      </c>
      <c r="E72" s="6">
        <v>767.6</v>
      </c>
      <c r="F72" s="28">
        <v>11195.80551269</v>
      </c>
      <c r="G72" s="28">
        <v>1202374.43</v>
      </c>
      <c r="H72" s="6">
        <v>1134</v>
      </c>
      <c r="I72" s="28">
        <v>14479934.279999999</v>
      </c>
      <c r="J72" s="28">
        <v>0</v>
      </c>
      <c r="K72" s="28">
        <v>0</v>
      </c>
      <c r="L72" s="28">
        <v>14479934.279999999</v>
      </c>
      <c r="M72" s="28">
        <v>10791.3</v>
      </c>
      <c r="N72" s="31">
        <v>207</v>
      </c>
      <c r="O72" s="28">
        <v>185402.54</v>
      </c>
    </row>
    <row r="73" spans="1:15" x14ac:dyDescent="0.25">
      <c r="A73" s="26" t="s">
        <v>302</v>
      </c>
      <c r="B73" s="27" t="s">
        <v>101</v>
      </c>
      <c r="C73" s="27" t="s">
        <v>101</v>
      </c>
      <c r="D73" s="6">
        <v>383.7</v>
      </c>
      <c r="E73" s="6">
        <v>163.9</v>
      </c>
      <c r="F73" s="28">
        <v>13842.272611349999</v>
      </c>
      <c r="G73" s="28">
        <v>272249.82</v>
      </c>
      <c r="H73" s="6">
        <v>356</v>
      </c>
      <c r="I73" s="28">
        <v>5766371.3600000003</v>
      </c>
      <c r="J73" s="28">
        <v>0</v>
      </c>
      <c r="K73" s="28">
        <v>0</v>
      </c>
      <c r="L73" s="28">
        <v>5766371.3600000003</v>
      </c>
      <c r="M73" s="28">
        <v>10791.3</v>
      </c>
      <c r="N73" s="31">
        <v>2</v>
      </c>
      <c r="O73" s="28">
        <v>2214.7600000000002</v>
      </c>
    </row>
    <row r="74" spans="1:15" x14ac:dyDescent="0.25">
      <c r="A74" s="26" t="s">
        <v>303</v>
      </c>
      <c r="B74" s="27" t="s">
        <v>102</v>
      </c>
      <c r="C74" s="27" t="s">
        <v>103</v>
      </c>
      <c r="D74" s="6">
        <v>397.4</v>
      </c>
      <c r="E74" s="6">
        <v>167.1</v>
      </c>
      <c r="F74" s="28">
        <v>13630.16744216</v>
      </c>
      <c r="G74" s="28">
        <v>273312.12</v>
      </c>
      <c r="H74" s="6">
        <v>384</v>
      </c>
      <c r="I74" s="28">
        <v>5922814.0700000003</v>
      </c>
      <c r="J74" s="28">
        <v>0</v>
      </c>
      <c r="K74" s="28">
        <v>0</v>
      </c>
      <c r="L74" s="28">
        <v>5922814.0700000003</v>
      </c>
      <c r="M74" s="28">
        <v>10791.3</v>
      </c>
      <c r="N74" s="31">
        <v>42</v>
      </c>
      <c r="O74" s="28">
        <v>45797.36</v>
      </c>
    </row>
    <row r="75" spans="1:15" x14ac:dyDescent="0.25">
      <c r="A75" s="26" t="s">
        <v>304</v>
      </c>
      <c r="B75" s="27" t="s">
        <v>102</v>
      </c>
      <c r="C75" s="27" t="s">
        <v>104</v>
      </c>
      <c r="D75" s="6">
        <v>1247.5</v>
      </c>
      <c r="E75" s="6">
        <v>415.2</v>
      </c>
      <c r="F75" s="28">
        <v>10949.421446230001</v>
      </c>
      <c r="G75" s="28">
        <v>545543.97</v>
      </c>
      <c r="H75" s="6">
        <v>1249</v>
      </c>
      <c r="I75" s="28">
        <v>14501208.789999999</v>
      </c>
      <c r="J75" s="28">
        <v>0</v>
      </c>
      <c r="K75" s="28">
        <v>0</v>
      </c>
      <c r="L75" s="28">
        <v>14501208.789999999</v>
      </c>
      <c r="M75" s="28">
        <v>10791.3</v>
      </c>
      <c r="N75" s="31">
        <v>85</v>
      </c>
      <c r="O75" s="28">
        <v>74456.070000000007</v>
      </c>
    </row>
    <row r="76" spans="1:15" x14ac:dyDescent="0.25">
      <c r="A76" s="26" t="s">
        <v>305</v>
      </c>
      <c r="B76" s="27" t="s">
        <v>105</v>
      </c>
      <c r="C76" s="27" t="s">
        <v>105</v>
      </c>
      <c r="D76" s="6">
        <v>2017</v>
      </c>
      <c r="E76" s="6">
        <v>714.8</v>
      </c>
      <c r="F76" s="28">
        <v>10788.55445774</v>
      </c>
      <c r="G76" s="28">
        <v>925399.05</v>
      </c>
      <c r="H76" s="6">
        <v>2022</v>
      </c>
      <c r="I76" s="28">
        <v>23229236.039999999</v>
      </c>
      <c r="J76" s="28">
        <v>0</v>
      </c>
      <c r="K76" s="28">
        <v>0</v>
      </c>
      <c r="L76" s="28">
        <v>23229236.039999999</v>
      </c>
      <c r="M76" s="28">
        <v>10791.3</v>
      </c>
      <c r="N76" s="31">
        <v>214</v>
      </c>
      <c r="O76" s="28">
        <v>184700.05</v>
      </c>
    </row>
    <row r="77" spans="1:15" x14ac:dyDescent="0.25">
      <c r="A77" s="26" t="s">
        <v>306</v>
      </c>
      <c r="B77" s="27" t="s">
        <v>106</v>
      </c>
      <c r="C77" s="27" t="s">
        <v>106</v>
      </c>
      <c r="D77" s="6">
        <v>68.900000000000006</v>
      </c>
      <c r="E77" s="6">
        <v>26.4</v>
      </c>
      <c r="F77" s="28">
        <v>23182.11542333</v>
      </c>
      <c r="G77" s="28">
        <v>84496.960000000006</v>
      </c>
      <c r="H77" s="6">
        <v>67</v>
      </c>
      <c r="I77" s="28">
        <v>1781744.71</v>
      </c>
      <c r="J77" s="28">
        <v>0</v>
      </c>
      <c r="K77" s="28">
        <v>0</v>
      </c>
      <c r="L77" s="28">
        <v>1781744.71</v>
      </c>
      <c r="M77" s="28">
        <v>10791.3</v>
      </c>
      <c r="N77" s="31">
        <v>0</v>
      </c>
      <c r="O77" s="28">
        <v>0</v>
      </c>
    </row>
    <row r="78" spans="1:15" x14ac:dyDescent="0.25">
      <c r="A78" s="26" t="s">
        <v>307</v>
      </c>
      <c r="B78" s="27" t="s">
        <v>107</v>
      </c>
      <c r="C78" s="27" t="s">
        <v>107</v>
      </c>
      <c r="D78" s="6">
        <v>452.2</v>
      </c>
      <c r="E78" s="6">
        <v>354</v>
      </c>
      <c r="F78" s="28">
        <v>12074.330616740001</v>
      </c>
      <c r="G78" s="28">
        <v>725875.64</v>
      </c>
      <c r="H78" s="6">
        <v>405</v>
      </c>
      <c r="I78" s="28">
        <v>6429493.0899999999</v>
      </c>
      <c r="J78" s="28">
        <v>0</v>
      </c>
      <c r="K78" s="28">
        <v>0</v>
      </c>
      <c r="L78" s="28">
        <v>6429493.0899999999</v>
      </c>
      <c r="M78" s="28">
        <v>10791.3</v>
      </c>
      <c r="N78" s="31">
        <v>0</v>
      </c>
      <c r="O78" s="28">
        <v>0</v>
      </c>
    </row>
    <row r="79" spans="1:15" x14ac:dyDescent="0.25">
      <c r="A79" s="26" t="s">
        <v>308</v>
      </c>
      <c r="B79" s="27" t="s">
        <v>107</v>
      </c>
      <c r="C79" s="27" t="s">
        <v>108</v>
      </c>
      <c r="D79" s="6">
        <v>224</v>
      </c>
      <c r="E79" s="6">
        <v>160.69999999999999</v>
      </c>
      <c r="F79" s="28">
        <v>15597.95476063</v>
      </c>
      <c r="G79" s="28">
        <v>300790.96000000002</v>
      </c>
      <c r="H79" s="6">
        <v>224</v>
      </c>
      <c r="I79" s="28">
        <v>3900180.83</v>
      </c>
      <c r="J79" s="28">
        <v>0</v>
      </c>
      <c r="K79" s="28">
        <v>0</v>
      </c>
      <c r="L79" s="28">
        <v>3900180.83</v>
      </c>
      <c r="M79" s="28">
        <v>10791.3</v>
      </c>
      <c r="N79" s="31">
        <v>0</v>
      </c>
      <c r="O79" s="28">
        <v>0</v>
      </c>
    </row>
    <row r="80" spans="1:15" x14ac:dyDescent="0.25">
      <c r="A80" s="26" t="s">
        <v>309</v>
      </c>
      <c r="B80" s="27" t="s">
        <v>109</v>
      </c>
      <c r="C80" s="27" t="s">
        <v>110</v>
      </c>
      <c r="D80" s="6">
        <v>147.4</v>
      </c>
      <c r="E80" s="6">
        <v>41.7</v>
      </c>
      <c r="F80" s="28">
        <v>19533.93375874</v>
      </c>
      <c r="G80" s="28">
        <v>116148.68</v>
      </c>
      <c r="H80" s="6">
        <v>130</v>
      </c>
      <c r="I80" s="28">
        <v>3103264.09</v>
      </c>
      <c r="J80" s="28">
        <v>0</v>
      </c>
      <c r="K80" s="28">
        <v>0</v>
      </c>
      <c r="L80" s="28">
        <v>3103264.09</v>
      </c>
      <c r="M80" s="28">
        <v>10791.3</v>
      </c>
      <c r="N80" s="31">
        <v>5</v>
      </c>
      <c r="O80" s="28">
        <v>7813.57</v>
      </c>
    </row>
    <row r="81" spans="1:15" x14ac:dyDescent="0.25">
      <c r="A81" s="26" t="s">
        <v>310</v>
      </c>
      <c r="B81" s="27" t="s">
        <v>111</v>
      </c>
      <c r="C81" s="27" t="s">
        <v>111</v>
      </c>
      <c r="D81" s="6">
        <v>74944.5</v>
      </c>
      <c r="E81" s="6">
        <v>22604.9</v>
      </c>
      <c r="F81" s="28">
        <v>10601.43944686</v>
      </c>
      <c r="G81" s="28">
        <v>29191901.27</v>
      </c>
      <c r="H81" s="6">
        <v>73345</v>
      </c>
      <c r="I81" s="28">
        <v>825636014.28999996</v>
      </c>
      <c r="J81" s="28">
        <v>0</v>
      </c>
      <c r="K81" s="28">
        <v>0</v>
      </c>
      <c r="L81" s="28">
        <v>825636014.28999996</v>
      </c>
      <c r="M81" s="28">
        <v>10791.3</v>
      </c>
      <c r="N81" s="31">
        <v>2880</v>
      </c>
      <c r="O81" s="28">
        <v>2442571.65</v>
      </c>
    </row>
    <row r="82" spans="1:15" x14ac:dyDescent="0.25">
      <c r="A82" s="26" t="s">
        <v>311</v>
      </c>
      <c r="B82" s="27" t="s">
        <v>74</v>
      </c>
      <c r="C82" s="27" t="s">
        <v>112</v>
      </c>
      <c r="D82" s="6">
        <v>191</v>
      </c>
      <c r="E82" s="6">
        <v>124.2</v>
      </c>
      <c r="F82" s="28">
        <v>16681.75050459</v>
      </c>
      <c r="G82" s="28">
        <v>248624.81</v>
      </c>
      <c r="H82" s="6">
        <v>190</v>
      </c>
      <c r="I82" s="28">
        <v>3534839.16</v>
      </c>
      <c r="J82" s="28">
        <v>0</v>
      </c>
      <c r="K82" s="28">
        <v>0</v>
      </c>
      <c r="L82" s="28">
        <v>3534839.16</v>
      </c>
      <c r="M82" s="28">
        <v>10791.3</v>
      </c>
      <c r="N82" s="31">
        <v>0</v>
      </c>
      <c r="O82" s="28">
        <v>0</v>
      </c>
    </row>
    <row r="83" spans="1:15" x14ac:dyDescent="0.25">
      <c r="A83" s="26" t="s">
        <v>312</v>
      </c>
      <c r="B83" s="27" t="s">
        <v>74</v>
      </c>
      <c r="C83" s="27" t="s">
        <v>113</v>
      </c>
      <c r="D83" s="6">
        <v>151.30000000000001</v>
      </c>
      <c r="E83" s="6">
        <v>11</v>
      </c>
      <c r="F83" s="28">
        <v>17739.16355216</v>
      </c>
      <c r="G83" s="28">
        <v>49849.43</v>
      </c>
      <c r="H83" s="6">
        <v>27</v>
      </c>
      <c r="I83" s="28">
        <v>2835204.01</v>
      </c>
      <c r="J83" s="28">
        <v>0</v>
      </c>
      <c r="K83" s="28">
        <v>0</v>
      </c>
      <c r="L83" s="28">
        <v>2835204.01</v>
      </c>
      <c r="M83" s="28">
        <v>10791.3</v>
      </c>
      <c r="N83" s="31">
        <v>1</v>
      </c>
      <c r="O83" s="28">
        <v>1419.13</v>
      </c>
    </row>
    <row r="84" spans="1:15" x14ac:dyDescent="0.25">
      <c r="A84" s="26" t="s">
        <v>313</v>
      </c>
      <c r="B84" s="27" t="s">
        <v>55</v>
      </c>
      <c r="C84" s="27" t="s">
        <v>114</v>
      </c>
      <c r="D84" s="6">
        <v>158.5</v>
      </c>
      <c r="E84" s="6">
        <v>74</v>
      </c>
      <c r="F84" s="28">
        <v>17922.889795980002</v>
      </c>
      <c r="G84" s="28">
        <v>169133.02</v>
      </c>
      <c r="H84" s="6">
        <v>160</v>
      </c>
      <c r="I84" s="28">
        <v>3109911.05</v>
      </c>
      <c r="J84" s="28">
        <v>0</v>
      </c>
      <c r="K84" s="28">
        <v>0</v>
      </c>
      <c r="L84" s="28">
        <v>3109911.05</v>
      </c>
      <c r="M84" s="28">
        <v>10791.3</v>
      </c>
      <c r="N84" s="31">
        <v>0</v>
      </c>
      <c r="O84" s="28">
        <v>0</v>
      </c>
    </row>
    <row r="85" spans="1:15" x14ac:dyDescent="0.25">
      <c r="A85" s="26" t="s">
        <v>314</v>
      </c>
      <c r="B85" s="27" t="s">
        <v>55</v>
      </c>
      <c r="C85" s="27" t="s">
        <v>115</v>
      </c>
      <c r="D85" s="6">
        <v>119.9</v>
      </c>
      <c r="E85" s="6">
        <v>46</v>
      </c>
      <c r="F85" s="28">
        <v>18660.81888957</v>
      </c>
      <c r="G85" s="28">
        <v>130101.12</v>
      </c>
      <c r="H85" s="6">
        <v>92</v>
      </c>
      <c r="I85" s="28">
        <v>2467533.2999999998</v>
      </c>
      <c r="J85" s="28">
        <v>0</v>
      </c>
      <c r="K85" s="28">
        <v>0</v>
      </c>
      <c r="L85" s="28">
        <v>2467533.2999999998</v>
      </c>
      <c r="M85" s="28">
        <v>10791.3</v>
      </c>
      <c r="N85" s="31">
        <v>0</v>
      </c>
      <c r="O85" s="28">
        <v>0</v>
      </c>
    </row>
    <row r="86" spans="1:15" x14ac:dyDescent="0.25">
      <c r="A86" s="26" t="s">
        <v>315</v>
      </c>
      <c r="B86" s="27" t="s">
        <v>55</v>
      </c>
      <c r="C86" s="27" t="s">
        <v>116</v>
      </c>
      <c r="D86" s="6">
        <v>202.1</v>
      </c>
      <c r="E86" s="6">
        <v>88.8</v>
      </c>
      <c r="F86" s="28">
        <v>16459.949474969999</v>
      </c>
      <c r="G86" s="28">
        <v>218138.01</v>
      </c>
      <c r="H86" s="6">
        <v>197</v>
      </c>
      <c r="I86" s="28">
        <v>3659178.56</v>
      </c>
      <c r="J86" s="28">
        <v>0</v>
      </c>
      <c r="K86" s="28">
        <v>0</v>
      </c>
      <c r="L86" s="28">
        <v>3659178.56</v>
      </c>
      <c r="M86" s="28">
        <v>10791.3</v>
      </c>
      <c r="N86" s="31">
        <v>11</v>
      </c>
      <c r="O86" s="28">
        <v>14484.76</v>
      </c>
    </row>
    <row r="87" spans="1:15" x14ac:dyDescent="0.25">
      <c r="A87" s="26" t="s">
        <v>316</v>
      </c>
      <c r="B87" s="27" t="s">
        <v>55</v>
      </c>
      <c r="C87" s="27" t="s">
        <v>117</v>
      </c>
      <c r="D87" s="6">
        <v>98.7</v>
      </c>
      <c r="E87" s="6">
        <v>68</v>
      </c>
      <c r="F87" s="28">
        <v>19960.443674810002</v>
      </c>
      <c r="G87" s="28">
        <v>195074.61</v>
      </c>
      <c r="H87" s="6">
        <v>90</v>
      </c>
      <c r="I87" s="28">
        <v>2274751.41</v>
      </c>
      <c r="J87" s="28">
        <v>0</v>
      </c>
      <c r="K87" s="28">
        <v>0</v>
      </c>
      <c r="L87" s="28">
        <v>2274751.41</v>
      </c>
      <c r="M87" s="28">
        <v>10791.3</v>
      </c>
      <c r="N87" s="31">
        <v>6</v>
      </c>
      <c r="O87" s="28">
        <v>9581.01</v>
      </c>
    </row>
    <row r="88" spans="1:15" x14ac:dyDescent="0.25">
      <c r="A88" s="26" t="s">
        <v>317</v>
      </c>
      <c r="B88" s="27" t="s">
        <v>55</v>
      </c>
      <c r="C88" s="27" t="s">
        <v>118</v>
      </c>
      <c r="D88" s="6">
        <v>689.5</v>
      </c>
      <c r="E88" s="6">
        <v>417.6</v>
      </c>
      <c r="F88" s="28">
        <v>10776.1202311</v>
      </c>
      <c r="G88" s="28">
        <v>663205.02</v>
      </c>
      <c r="H88" s="6">
        <v>662</v>
      </c>
      <c r="I88" s="28">
        <v>8472233.6999999993</v>
      </c>
      <c r="J88" s="28">
        <v>0</v>
      </c>
      <c r="K88" s="28">
        <v>0</v>
      </c>
      <c r="L88" s="28">
        <v>8472233.6999999993</v>
      </c>
      <c r="M88" s="28">
        <v>10791.3</v>
      </c>
      <c r="N88" s="31">
        <v>63</v>
      </c>
      <c r="O88" s="28">
        <v>54311.65</v>
      </c>
    </row>
    <row r="89" spans="1:15" x14ac:dyDescent="0.25">
      <c r="A89" s="26" t="s">
        <v>318</v>
      </c>
      <c r="B89" s="27" t="s">
        <v>119</v>
      </c>
      <c r="C89" s="27" t="s">
        <v>119</v>
      </c>
      <c r="D89" s="6">
        <v>899.6</v>
      </c>
      <c r="E89" s="6">
        <v>536.4</v>
      </c>
      <c r="F89" s="28">
        <v>11297.199378179999</v>
      </c>
      <c r="G89" s="28">
        <v>798911.95</v>
      </c>
      <c r="H89" s="6">
        <v>863</v>
      </c>
      <c r="I89" s="28">
        <v>11527091.41</v>
      </c>
      <c r="J89" s="28">
        <v>0</v>
      </c>
      <c r="K89" s="28">
        <v>0</v>
      </c>
      <c r="L89" s="28">
        <v>11527091.41</v>
      </c>
      <c r="M89" s="28">
        <v>10791.3</v>
      </c>
      <c r="N89" s="31">
        <v>158</v>
      </c>
      <c r="O89" s="28">
        <v>142796.6</v>
      </c>
    </row>
    <row r="90" spans="1:15" x14ac:dyDescent="0.25">
      <c r="A90" s="26" t="s">
        <v>319</v>
      </c>
      <c r="B90" s="27" t="s">
        <v>120</v>
      </c>
      <c r="C90" s="27" t="s">
        <v>121</v>
      </c>
      <c r="D90" s="6">
        <v>4939.3999999999996</v>
      </c>
      <c r="E90" s="6">
        <v>1812.8</v>
      </c>
      <c r="F90" s="28">
        <v>10714.46861672</v>
      </c>
      <c r="G90" s="28">
        <v>2725673.78</v>
      </c>
      <c r="H90" s="6">
        <v>4902</v>
      </c>
      <c r="I90" s="28">
        <v>56659891.829999998</v>
      </c>
      <c r="J90" s="28">
        <v>0</v>
      </c>
      <c r="K90" s="28">
        <v>0</v>
      </c>
      <c r="L90" s="28">
        <v>56659891.829999998</v>
      </c>
      <c r="M90" s="28">
        <v>10791.3</v>
      </c>
      <c r="N90" s="31">
        <v>168</v>
      </c>
      <c r="O90" s="28">
        <v>144002.46</v>
      </c>
    </row>
    <row r="91" spans="1:15" x14ac:dyDescent="0.25">
      <c r="A91" s="26" t="s">
        <v>320</v>
      </c>
      <c r="B91" s="27" t="s">
        <v>120</v>
      </c>
      <c r="C91" s="27" t="s">
        <v>122</v>
      </c>
      <c r="D91" s="6">
        <v>1269.5</v>
      </c>
      <c r="E91" s="6">
        <v>502.4</v>
      </c>
      <c r="F91" s="28">
        <v>11307.182294</v>
      </c>
      <c r="G91" s="28">
        <v>697587.41</v>
      </c>
      <c r="H91" s="6">
        <v>1176</v>
      </c>
      <c r="I91" s="28">
        <v>15284948.84</v>
      </c>
      <c r="J91" s="28">
        <v>0</v>
      </c>
      <c r="K91" s="28">
        <v>0</v>
      </c>
      <c r="L91" s="28">
        <v>15284948.84</v>
      </c>
      <c r="M91" s="28">
        <v>10791.3</v>
      </c>
      <c r="N91" s="31">
        <v>22</v>
      </c>
      <c r="O91" s="28">
        <v>19900.64</v>
      </c>
    </row>
    <row r="92" spans="1:15" x14ac:dyDescent="0.25">
      <c r="A92" s="26" t="s">
        <v>321</v>
      </c>
      <c r="B92" s="27" t="s">
        <v>120</v>
      </c>
      <c r="C92" s="27" t="s">
        <v>123</v>
      </c>
      <c r="D92" s="6">
        <v>694.7</v>
      </c>
      <c r="E92" s="6">
        <v>343.6</v>
      </c>
      <c r="F92" s="28">
        <v>12004.323742140001</v>
      </c>
      <c r="G92" s="28">
        <v>789764.15</v>
      </c>
      <c r="H92" s="6">
        <v>602</v>
      </c>
      <c r="I92" s="28">
        <v>9460360.0099999998</v>
      </c>
      <c r="J92" s="28">
        <v>0</v>
      </c>
      <c r="K92" s="28">
        <v>0</v>
      </c>
      <c r="L92" s="28">
        <v>9460360.0099999998</v>
      </c>
      <c r="M92" s="28">
        <v>10791.3</v>
      </c>
      <c r="N92" s="31">
        <v>8</v>
      </c>
      <c r="O92" s="28">
        <v>7682.77</v>
      </c>
    </row>
    <row r="93" spans="1:15" x14ac:dyDescent="0.25">
      <c r="A93" s="26" t="s">
        <v>322</v>
      </c>
      <c r="B93" s="27" t="s">
        <v>124</v>
      </c>
      <c r="C93" s="27" t="s">
        <v>125</v>
      </c>
      <c r="D93" s="6">
        <v>32156.3</v>
      </c>
      <c r="E93" s="6">
        <v>10084.200000000001</v>
      </c>
      <c r="F93" s="28">
        <v>10221.394942069999</v>
      </c>
      <c r="G93" s="28">
        <v>12368950.9</v>
      </c>
      <c r="H93" s="6">
        <v>31464</v>
      </c>
      <c r="I93" s="28">
        <v>346409265.19</v>
      </c>
      <c r="J93" s="28">
        <v>0</v>
      </c>
      <c r="K93" s="28">
        <v>0</v>
      </c>
      <c r="L93" s="28">
        <v>346409265.19</v>
      </c>
      <c r="M93" s="28">
        <v>10791.3</v>
      </c>
      <c r="N93" s="31">
        <v>1199</v>
      </c>
      <c r="O93" s="28">
        <v>980436.2</v>
      </c>
    </row>
    <row r="94" spans="1:15" x14ac:dyDescent="0.25">
      <c r="A94" s="26" t="s">
        <v>323</v>
      </c>
      <c r="B94" s="27" t="s">
        <v>124</v>
      </c>
      <c r="C94" s="27" t="s">
        <v>126</v>
      </c>
      <c r="D94" s="6">
        <v>14503.2</v>
      </c>
      <c r="E94" s="6">
        <v>4727.6000000000004</v>
      </c>
      <c r="F94" s="28">
        <v>10206.57198156</v>
      </c>
      <c r="G94" s="28">
        <v>7088921.1900000004</v>
      </c>
      <c r="H94" s="6">
        <v>14214</v>
      </c>
      <c r="I94" s="28">
        <v>156444693.50999999</v>
      </c>
      <c r="J94" s="28">
        <v>0</v>
      </c>
      <c r="K94" s="28">
        <v>0</v>
      </c>
      <c r="L94" s="28">
        <v>156444693.50999999</v>
      </c>
      <c r="M94" s="28">
        <v>10791.3</v>
      </c>
      <c r="N94" s="31">
        <v>377</v>
      </c>
      <c r="O94" s="28">
        <v>307830.21000000002</v>
      </c>
    </row>
    <row r="95" spans="1:15" x14ac:dyDescent="0.25">
      <c r="A95" s="26" t="s">
        <v>324</v>
      </c>
      <c r="B95" s="27" t="s">
        <v>124</v>
      </c>
      <c r="C95" s="27" t="s">
        <v>127</v>
      </c>
      <c r="D95" s="6">
        <v>961.4</v>
      </c>
      <c r="E95" s="6">
        <v>433.1</v>
      </c>
      <c r="F95" s="28">
        <v>11459.403890760001</v>
      </c>
      <c r="G95" s="28">
        <v>639854.56000000006</v>
      </c>
      <c r="H95" s="6">
        <v>912</v>
      </c>
      <c r="I95" s="28">
        <v>12228888.060000001</v>
      </c>
      <c r="J95" s="28">
        <v>0</v>
      </c>
      <c r="K95" s="28">
        <v>0</v>
      </c>
      <c r="L95" s="28">
        <v>12228888.060000001</v>
      </c>
      <c r="M95" s="28">
        <v>10791.3</v>
      </c>
      <c r="N95" s="31">
        <v>139</v>
      </c>
      <c r="O95" s="28">
        <v>127428.57</v>
      </c>
    </row>
    <row r="96" spans="1:15" x14ac:dyDescent="0.25">
      <c r="A96" s="26" t="s">
        <v>325</v>
      </c>
      <c r="B96" s="27" t="s">
        <v>47</v>
      </c>
      <c r="C96" s="27" t="s">
        <v>128</v>
      </c>
      <c r="D96" s="6">
        <v>775</v>
      </c>
      <c r="E96" s="6">
        <v>577.20000000000005</v>
      </c>
      <c r="F96" s="28">
        <v>11318.08564917</v>
      </c>
      <c r="G96" s="28">
        <v>1151453.3999999999</v>
      </c>
      <c r="H96" s="6">
        <v>763</v>
      </c>
      <c r="I96" s="28">
        <v>10290517.369999999</v>
      </c>
      <c r="J96" s="28">
        <v>0</v>
      </c>
      <c r="K96" s="28">
        <v>0</v>
      </c>
      <c r="L96" s="28">
        <v>10290517.369999999</v>
      </c>
      <c r="M96" s="28">
        <v>10791.3</v>
      </c>
      <c r="N96" s="31">
        <v>3</v>
      </c>
      <c r="O96" s="28">
        <v>2716.34</v>
      </c>
    </row>
    <row r="97" spans="1:15" x14ac:dyDescent="0.25">
      <c r="A97" s="26" t="s">
        <v>326</v>
      </c>
      <c r="B97" s="27" t="s">
        <v>47</v>
      </c>
      <c r="C97" s="27" t="s">
        <v>129</v>
      </c>
      <c r="D97" s="6">
        <v>222.7</v>
      </c>
      <c r="E97" s="6">
        <v>75</v>
      </c>
      <c r="F97" s="28">
        <v>16194.85545678</v>
      </c>
      <c r="G97" s="28">
        <v>241738.26</v>
      </c>
      <c r="H97" s="6">
        <v>200</v>
      </c>
      <c r="I97" s="28">
        <v>3953168.6</v>
      </c>
      <c r="J97" s="28">
        <v>0</v>
      </c>
      <c r="K97" s="28">
        <v>0</v>
      </c>
      <c r="L97" s="28">
        <v>3953168.6</v>
      </c>
      <c r="M97" s="28">
        <v>10791.3</v>
      </c>
      <c r="N97" s="31">
        <v>0</v>
      </c>
      <c r="O97" s="28">
        <v>0</v>
      </c>
    </row>
    <row r="98" spans="1:15" x14ac:dyDescent="0.25">
      <c r="A98" s="26" t="s">
        <v>327</v>
      </c>
      <c r="B98" s="27" t="s">
        <v>47</v>
      </c>
      <c r="C98" s="27" t="s">
        <v>130</v>
      </c>
      <c r="D98" s="6">
        <v>300.2</v>
      </c>
      <c r="E98" s="6">
        <v>109.4</v>
      </c>
      <c r="F98" s="28">
        <v>14059.714612719999</v>
      </c>
      <c r="G98" s="28">
        <v>210007.37</v>
      </c>
      <c r="H98" s="6">
        <v>271</v>
      </c>
      <c r="I98" s="28">
        <v>4573177.63</v>
      </c>
      <c r="J98" s="28">
        <v>0</v>
      </c>
      <c r="K98" s="28">
        <v>0</v>
      </c>
      <c r="L98" s="28">
        <v>4573177.63</v>
      </c>
      <c r="M98" s="28">
        <v>10791.3</v>
      </c>
      <c r="N98" s="31">
        <v>1</v>
      </c>
      <c r="O98" s="28">
        <v>1124.78</v>
      </c>
    </row>
    <row r="99" spans="1:15" x14ac:dyDescent="0.25">
      <c r="A99" s="26" t="s">
        <v>328</v>
      </c>
      <c r="B99" s="27" t="s">
        <v>47</v>
      </c>
      <c r="C99" s="27" t="s">
        <v>131</v>
      </c>
      <c r="D99" s="6">
        <v>115</v>
      </c>
      <c r="E99" s="6">
        <v>93</v>
      </c>
      <c r="F99" s="28">
        <v>19350.24947667</v>
      </c>
      <c r="G99" s="28">
        <v>215948.78</v>
      </c>
      <c r="H99" s="6">
        <v>115</v>
      </c>
      <c r="I99" s="28">
        <v>2542775.4900000002</v>
      </c>
      <c r="J99" s="28">
        <v>0</v>
      </c>
      <c r="K99" s="28">
        <v>0</v>
      </c>
      <c r="L99" s="28">
        <v>2542775.4900000002</v>
      </c>
      <c r="M99" s="28">
        <v>10791.3</v>
      </c>
      <c r="N99" s="31">
        <v>1</v>
      </c>
      <c r="O99" s="28">
        <v>1548.02</v>
      </c>
    </row>
    <row r="100" spans="1:15" x14ac:dyDescent="0.25">
      <c r="A100" s="26" t="s">
        <v>329</v>
      </c>
      <c r="B100" s="27" t="s">
        <v>47</v>
      </c>
      <c r="C100" s="27" t="s">
        <v>132</v>
      </c>
      <c r="D100" s="6">
        <v>471</v>
      </c>
      <c r="E100" s="6">
        <v>208.7</v>
      </c>
      <c r="F100" s="28">
        <v>10640.22983118</v>
      </c>
      <c r="G100" s="28">
        <v>266473.92</v>
      </c>
      <c r="H100" s="6">
        <v>465</v>
      </c>
      <c r="I100" s="28">
        <v>5343287.6100000003</v>
      </c>
      <c r="J100" s="28">
        <v>0</v>
      </c>
      <c r="K100" s="28">
        <v>0</v>
      </c>
      <c r="L100" s="28">
        <v>5343287.6100000003</v>
      </c>
      <c r="M100" s="28">
        <v>10791.3</v>
      </c>
      <c r="N100" s="31">
        <v>3</v>
      </c>
      <c r="O100" s="28">
        <v>2553.66</v>
      </c>
    </row>
    <row r="101" spans="1:15" x14ac:dyDescent="0.25">
      <c r="A101" s="26" t="s">
        <v>330</v>
      </c>
      <c r="B101" s="27" t="s">
        <v>47</v>
      </c>
      <c r="C101" s="27" t="s">
        <v>133</v>
      </c>
      <c r="D101" s="6">
        <v>50</v>
      </c>
      <c r="E101" s="6">
        <v>8.3000000000000007</v>
      </c>
      <c r="F101" s="28">
        <v>20599.650462919999</v>
      </c>
      <c r="G101" s="28">
        <v>20517.25</v>
      </c>
      <c r="H101" s="6">
        <v>22</v>
      </c>
      <c r="I101" s="28">
        <v>1150499.77</v>
      </c>
      <c r="J101" s="28">
        <v>0</v>
      </c>
      <c r="K101" s="28">
        <v>0</v>
      </c>
      <c r="L101" s="28">
        <v>1150499.77</v>
      </c>
      <c r="M101" s="28">
        <v>10791.3</v>
      </c>
      <c r="N101" s="31">
        <v>0</v>
      </c>
      <c r="O101" s="28">
        <v>0</v>
      </c>
    </row>
    <row r="102" spans="1:15" x14ac:dyDescent="0.25">
      <c r="A102" s="26" t="s">
        <v>331</v>
      </c>
      <c r="B102" s="27" t="s">
        <v>134</v>
      </c>
      <c r="C102" s="27" t="s">
        <v>135</v>
      </c>
      <c r="D102" s="6">
        <v>204.5</v>
      </c>
      <c r="E102" s="6">
        <v>114.7</v>
      </c>
      <c r="F102" s="28">
        <v>16865.482165699999</v>
      </c>
      <c r="G102" s="28">
        <v>232136.5</v>
      </c>
      <c r="H102" s="6">
        <v>203</v>
      </c>
      <c r="I102" s="28">
        <v>3782476.84</v>
      </c>
      <c r="J102" s="28">
        <v>0</v>
      </c>
      <c r="K102" s="28">
        <v>0</v>
      </c>
      <c r="L102" s="28">
        <v>3782476.84</v>
      </c>
      <c r="M102" s="28">
        <v>10791.3</v>
      </c>
      <c r="N102" s="31">
        <v>1</v>
      </c>
      <c r="O102" s="28">
        <v>1349.24</v>
      </c>
    </row>
    <row r="103" spans="1:15" x14ac:dyDescent="0.25">
      <c r="A103" s="26" t="s">
        <v>332</v>
      </c>
      <c r="B103" s="27" t="s">
        <v>134</v>
      </c>
      <c r="C103" s="27" t="s">
        <v>136</v>
      </c>
      <c r="D103" s="6">
        <v>462.8</v>
      </c>
      <c r="E103" s="6">
        <v>227.9</v>
      </c>
      <c r="F103" s="28">
        <v>11783.07865487</v>
      </c>
      <c r="G103" s="28">
        <v>350128.69</v>
      </c>
      <c r="H103" s="6">
        <v>451</v>
      </c>
      <c r="I103" s="28">
        <v>6011029.8600000003</v>
      </c>
      <c r="J103" s="28">
        <v>0</v>
      </c>
      <c r="K103" s="28">
        <v>0</v>
      </c>
      <c r="L103" s="28">
        <v>6011029.8600000003</v>
      </c>
      <c r="M103" s="28">
        <v>10791.3</v>
      </c>
      <c r="N103" s="31">
        <v>12</v>
      </c>
      <c r="O103" s="28">
        <v>11311.76</v>
      </c>
    </row>
    <row r="104" spans="1:15" x14ac:dyDescent="0.25">
      <c r="A104" s="26" t="s">
        <v>333</v>
      </c>
      <c r="B104" s="27" t="s">
        <v>134</v>
      </c>
      <c r="C104" s="27" t="s">
        <v>137</v>
      </c>
      <c r="D104" s="6">
        <v>50</v>
      </c>
      <c r="E104" s="6">
        <v>14</v>
      </c>
      <c r="F104" s="28">
        <v>21754.69388848</v>
      </c>
      <c r="G104" s="28">
        <v>48251.89</v>
      </c>
      <c r="H104" s="6">
        <v>27</v>
      </c>
      <c r="I104" s="28">
        <v>1235986.58</v>
      </c>
      <c r="J104" s="28">
        <v>0</v>
      </c>
      <c r="K104" s="28">
        <v>0</v>
      </c>
      <c r="L104" s="28">
        <v>1235986.58</v>
      </c>
      <c r="M104" s="28">
        <v>10791.3</v>
      </c>
      <c r="N104" s="31">
        <v>0</v>
      </c>
      <c r="O104" s="28">
        <v>0</v>
      </c>
    </row>
    <row r="105" spans="1:15" x14ac:dyDescent="0.25">
      <c r="A105" s="26" t="s">
        <v>334</v>
      </c>
      <c r="B105" s="27" t="s">
        <v>138</v>
      </c>
      <c r="C105" s="27" t="s">
        <v>139</v>
      </c>
      <c r="D105" s="6">
        <v>1847.9</v>
      </c>
      <c r="E105" s="6">
        <v>1006.1</v>
      </c>
      <c r="F105" s="28">
        <v>10421.67427283</v>
      </c>
      <c r="G105" s="28">
        <v>1417808.12</v>
      </c>
      <c r="H105" s="6">
        <v>1776</v>
      </c>
      <c r="I105" s="28">
        <v>21037092.25</v>
      </c>
      <c r="J105" s="28">
        <v>0</v>
      </c>
      <c r="K105" s="28">
        <v>0</v>
      </c>
      <c r="L105" s="28">
        <v>21037092.25</v>
      </c>
      <c r="M105" s="28">
        <v>10791.3</v>
      </c>
      <c r="N105" s="31">
        <v>39</v>
      </c>
      <c r="O105" s="28">
        <v>32515.62</v>
      </c>
    </row>
    <row r="106" spans="1:15" x14ac:dyDescent="0.25">
      <c r="A106" s="26" t="s">
        <v>335</v>
      </c>
      <c r="B106" s="27" t="s">
        <v>138</v>
      </c>
      <c r="C106" s="27" t="s">
        <v>140</v>
      </c>
      <c r="D106" s="6">
        <v>200.7</v>
      </c>
      <c r="E106" s="6">
        <v>49</v>
      </c>
      <c r="F106" s="28">
        <v>17072.321351629998</v>
      </c>
      <c r="G106" s="28">
        <v>113675.24</v>
      </c>
      <c r="H106" s="6">
        <v>198</v>
      </c>
      <c r="I106" s="28">
        <v>3640090.14</v>
      </c>
      <c r="J106" s="28">
        <v>0</v>
      </c>
      <c r="K106" s="28">
        <v>0</v>
      </c>
      <c r="L106" s="28">
        <v>3640090.14</v>
      </c>
      <c r="M106" s="28">
        <v>10791.3</v>
      </c>
      <c r="N106" s="31">
        <v>0</v>
      </c>
      <c r="O106" s="28">
        <v>0</v>
      </c>
    </row>
    <row r="107" spans="1:15" x14ac:dyDescent="0.25">
      <c r="A107" s="26" t="s">
        <v>336</v>
      </c>
      <c r="B107" s="27" t="s">
        <v>138</v>
      </c>
      <c r="C107" s="27" t="s">
        <v>141</v>
      </c>
      <c r="D107" s="6">
        <v>318.3</v>
      </c>
      <c r="E107" s="6">
        <v>92</v>
      </c>
      <c r="F107" s="28">
        <v>14084.44617062</v>
      </c>
      <c r="G107" s="28">
        <v>172201.5</v>
      </c>
      <c r="H107" s="6">
        <v>314</v>
      </c>
      <c r="I107" s="28">
        <v>4813007.74</v>
      </c>
      <c r="J107" s="28">
        <v>0</v>
      </c>
      <c r="K107" s="28">
        <v>0</v>
      </c>
      <c r="L107" s="28">
        <v>4813007.74</v>
      </c>
      <c r="M107" s="28">
        <v>10791.3</v>
      </c>
      <c r="N107" s="31">
        <v>7</v>
      </c>
      <c r="O107" s="28">
        <v>7887.29</v>
      </c>
    </row>
    <row r="108" spans="1:15" x14ac:dyDescent="0.25">
      <c r="A108" s="26" t="s">
        <v>337</v>
      </c>
      <c r="B108" s="27" t="s">
        <v>138</v>
      </c>
      <c r="C108" s="27" t="s">
        <v>142</v>
      </c>
      <c r="D108" s="6">
        <v>183</v>
      </c>
      <c r="E108" s="6">
        <v>48</v>
      </c>
      <c r="F108" s="28">
        <v>17834.94142015</v>
      </c>
      <c r="G108" s="28">
        <v>102729.26</v>
      </c>
      <c r="H108" s="6">
        <v>183</v>
      </c>
      <c r="I108" s="28">
        <v>3466523.54</v>
      </c>
      <c r="J108" s="28">
        <v>0</v>
      </c>
      <c r="K108" s="28">
        <v>0</v>
      </c>
      <c r="L108" s="28">
        <v>3466523.54</v>
      </c>
      <c r="M108" s="28">
        <v>10791.3</v>
      </c>
      <c r="N108" s="31">
        <v>0</v>
      </c>
      <c r="O108" s="28">
        <v>0</v>
      </c>
    </row>
    <row r="109" spans="1:15" x14ac:dyDescent="0.25">
      <c r="A109" s="26" t="s">
        <v>338</v>
      </c>
      <c r="B109" s="27" t="s">
        <v>143</v>
      </c>
      <c r="C109" s="27" t="s">
        <v>144</v>
      </c>
      <c r="D109" s="6">
        <v>170</v>
      </c>
      <c r="E109" s="6">
        <v>107</v>
      </c>
      <c r="F109" s="28">
        <v>18226.637049329998</v>
      </c>
      <c r="G109" s="28">
        <v>239155.99</v>
      </c>
      <c r="H109" s="6">
        <v>171</v>
      </c>
      <c r="I109" s="28">
        <v>3447891.21</v>
      </c>
      <c r="J109" s="28">
        <v>0</v>
      </c>
      <c r="K109" s="28">
        <v>0</v>
      </c>
      <c r="L109" s="28">
        <v>3447891.21</v>
      </c>
      <c r="M109" s="28">
        <v>10791.3</v>
      </c>
      <c r="N109" s="31">
        <v>7</v>
      </c>
      <c r="O109" s="28">
        <v>10206.92</v>
      </c>
    </row>
    <row r="110" spans="1:15" x14ac:dyDescent="0.25">
      <c r="A110" s="26" t="s">
        <v>339</v>
      </c>
      <c r="B110" s="27" t="s">
        <v>143</v>
      </c>
      <c r="C110" s="27" t="s">
        <v>145</v>
      </c>
      <c r="D110" s="6">
        <v>296.5</v>
      </c>
      <c r="E110" s="6">
        <v>130</v>
      </c>
      <c r="F110" s="28">
        <v>14368.4796004</v>
      </c>
      <c r="G110" s="28">
        <v>224148.28</v>
      </c>
      <c r="H110" s="6">
        <v>281</v>
      </c>
      <c r="I110" s="28">
        <v>4625129.34</v>
      </c>
      <c r="J110" s="28">
        <v>0</v>
      </c>
      <c r="K110" s="28">
        <v>0</v>
      </c>
      <c r="L110" s="28">
        <v>4625129.34</v>
      </c>
      <c r="M110" s="28">
        <v>10791.3</v>
      </c>
      <c r="N110" s="31">
        <v>1</v>
      </c>
      <c r="O110" s="28">
        <v>1149.48</v>
      </c>
    </row>
    <row r="111" spans="1:15" x14ac:dyDescent="0.25">
      <c r="A111" s="26" t="s">
        <v>340</v>
      </c>
      <c r="B111" s="27" t="s">
        <v>143</v>
      </c>
      <c r="C111" s="27" t="s">
        <v>146</v>
      </c>
      <c r="D111" s="6">
        <v>21194.799999999999</v>
      </c>
      <c r="E111" s="6">
        <v>11481.5</v>
      </c>
      <c r="F111" s="28">
        <v>9894.6004115600008</v>
      </c>
      <c r="G111" s="28">
        <v>14210028.859999999</v>
      </c>
      <c r="H111" s="6">
        <v>20408</v>
      </c>
      <c r="I111" s="28">
        <v>228723930.38999999</v>
      </c>
      <c r="J111" s="28">
        <v>0</v>
      </c>
      <c r="K111" s="28">
        <v>0</v>
      </c>
      <c r="L111" s="28">
        <v>228723930.38999999</v>
      </c>
      <c r="M111" s="28">
        <v>10791.3</v>
      </c>
      <c r="N111" s="31">
        <v>654</v>
      </c>
      <c r="O111" s="28">
        <v>517685.49</v>
      </c>
    </row>
    <row r="112" spans="1:15" x14ac:dyDescent="0.25">
      <c r="A112" s="26" t="s">
        <v>341</v>
      </c>
      <c r="B112" s="27" t="s">
        <v>147</v>
      </c>
      <c r="C112" s="27" t="s">
        <v>148</v>
      </c>
      <c r="D112" s="6">
        <v>93.5</v>
      </c>
      <c r="E112" s="6">
        <v>37</v>
      </c>
      <c r="F112" s="28">
        <v>21292.814734510001</v>
      </c>
      <c r="G112" s="28">
        <v>130581.91</v>
      </c>
      <c r="H112" s="6">
        <v>92</v>
      </c>
      <c r="I112" s="28">
        <v>2221460.09</v>
      </c>
      <c r="J112" s="28">
        <v>0</v>
      </c>
      <c r="K112" s="28">
        <v>0</v>
      </c>
      <c r="L112" s="28">
        <v>2221460.09</v>
      </c>
      <c r="M112" s="28">
        <v>10791.3</v>
      </c>
      <c r="N112" s="31">
        <v>0</v>
      </c>
      <c r="O112" s="28">
        <v>0</v>
      </c>
    </row>
    <row r="113" spans="1:15" x14ac:dyDescent="0.25">
      <c r="A113" s="26" t="s">
        <v>342</v>
      </c>
      <c r="B113" s="27" t="s">
        <v>149</v>
      </c>
      <c r="C113" s="27" t="s">
        <v>149</v>
      </c>
      <c r="D113" s="6">
        <v>1846.6</v>
      </c>
      <c r="E113" s="6">
        <v>980.2</v>
      </c>
      <c r="F113" s="28">
        <v>10224.698481089999</v>
      </c>
      <c r="G113" s="28">
        <v>1383657.43</v>
      </c>
      <c r="H113" s="6">
        <v>1693</v>
      </c>
      <c r="I113" s="28">
        <v>20691068.239999998</v>
      </c>
      <c r="J113" s="28">
        <v>0</v>
      </c>
      <c r="K113" s="28">
        <v>0</v>
      </c>
      <c r="L113" s="28">
        <v>20691068.239999998</v>
      </c>
      <c r="M113" s="28">
        <v>10791.3</v>
      </c>
      <c r="N113" s="31">
        <v>120</v>
      </c>
      <c r="O113" s="28">
        <v>98157.11</v>
      </c>
    </row>
    <row r="114" spans="1:15" x14ac:dyDescent="0.25">
      <c r="A114" s="26" t="s">
        <v>343</v>
      </c>
      <c r="B114" s="27" t="s">
        <v>150</v>
      </c>
      <c r="C114" s="27" t="s">
        <v>150</v>
      </c>
      <c r="D114" s="6">
        <v>2475.8000000000002</v>
      </c>
      <c r="E114" s="6">
        <v>1581.4</v>
      </c>
      <c r="F114" s="28">
        <v>10085.06439908</v>
      </c>
      <c r="G114" s="28">
        <v>2205716.5299999998</v>
      </c>
      <c r="H114" s="6">
        <v>2372</v>
      </c>
      <c r="I114" s="28">
        <v>27665173.870000001</v>
      </c>
      <c r="J114" s="28">
        <v>0</v>
      </c>
      <c r="K114" s="28">
        <v>0</v>
      </c>
      <c r="L114" s="28">
        <v>27665173.870000001</v>
      </c>
      <c r="M114" s="28">
        <v>10791.3</v>
      </c>
      <c r="N114" s="31">
        <v>62</v>
      </c>
      <c r="O114" s="28">
        <v>50021.919999999998</v>
      </c>
    </row>
    <row r="115" spans="1:15" x14ac:dyDescent="0.25">
      <c r="A115" s="26" t="s">
        <v>344</v>
      </c>
      <c r="B115" s="27" t="s">
        <v>150</v>
      </c>
      <c r="C115" s="27" t="s">
        <v>69</v>
      </c>
      <c r="D115" s="6">
        <v>629.79999999999995</v>
      </c>
      <c r="E115" s="6">
        <v>337.5</v>
      </c>
      <c r="F115" s="28">
        <v>11582.05494079</v>
      </c>
      <c r="G115" s="28">
        <v>489955.55</v>
      </c>
      <c r="H115" s="6">
        <v>597</v>
      </c>
      <c r="I115" s="28">
        <v>8087813.1299999999</v>
      </c>
      <c r="J115" s="28">
        <v>0</v>
      </c>
      <c r="K115" s="28">
        <v>0</v>
      </c>
      <c r="L115" s="28">
        <v>8087813.1299999999</v>
      </c>
      <c r="M115" s="28">
        <v>10791.3</v>
      </c>
      <c r="N115" s="31">
        <v>9</v>
      </c>
      <c r="O115" s="28">
        <v>8339.08</v>
      </c>
    </row>
    <row r="116" spans="1:15" x14ac:dyDescent="0.25">
      <c r="A116" s="26" t="s">
        <v>345</v>
      </c>
      <c r="B116" s="27" t="s">
        <v>150</v>
      </c>
      <c r="C116" s="27" t="s">
        <v>151</v>
      </c>
      <c r="D116" s="6">
        <v>481.3</v>
      </c>
      <c r="E116" s="6">
        <v>197.6</v>
      </c>
      <c r="F116" s="28">
        <v>11764.982278830001</v>
      </c>
      <c r="G116" s="28">
        <v>382234.94</v>
      </c>
      <c r="H116" s="6">
        <v>475</v>
      </c>
      <c r="I116" s="28">
        <v>6287654.6799999997</v>
      </c>
      <c r="J116" s="28">
        <v>0</v>
      </c>
      <c r="K116" s="28">
        <v>0</v>
      </c>
      <c r="L116" s="28">
        <v>6287654.6799999997</v>
      </c>
      <c r="M116" s="28">
        <v>10791.3</v>
      </c>
      <c r="N116" s="31">
        <v>19</v>
      </c>
      <c r="O116" s="28">
        <v>17882.77</v>
      </c>
    </row>
    <row r="117" spans="1:15" x14ac:dyDescent="0.25">
      <c r="A117" s="26" t="s">
        <v>346</v>
      </c>
      <c r="B117" s="27" t="s">
        <v>152</v>
      </c>
      <c r="C117" s="27" t="s">
        <v>152</v>
      </c>
      <c r="D117" s="6">
        <v>5713.5</v>
      </c>
      <c r="E117" s="6">
        <v>3218.3</v>
      </c>
      <c r="F117" s="28">
        <v>10496.764481800001</v>
      </c>
      <c r="G117" s="28">
        <v>4507990.03</v>
      </c>
      <c r="H117" s="6">
        <v>5691</v>
      </c>
      <c r="I117" s="28">
        <v>65845606.780000001</v>
      </c>
      <c r="J117" s="28">
        <v>0</v>
      </c>
      <c r="K117" s="28">
        <v>0</v>
      </c>
      <c r="L117" s="28">
        <v>65845606.780000001</v>
      </c>
      <c r="M117" s="28">
        <v>10791.3</v>
      </c>
      <c r="N117" s="31">
        <v>415</v>
      </c>
      <c r="O117" s="28">
        <v>348492.58</v>
      </c>
    </row>
    <row r="118" spans="1:15" x14ac:dyDescent="0.25">
      <c r="A118" s="26" t="s">
        <v>347</v>
      </c>
      <c r="B118" s="27" t="s">
        <v>152</v>
      </c>
      <c r="C118" s="27" t="s">
        <v>153</v>
      </c>
      <c r="D118" s="6">
        <v>232.8</v>
      </c>
      <c r="E118" s="6">
        <v>133</v>
      </c>
      <c r="F118" s="28">
        <v>16902.625423270001</v>
      </c>
      <c r="G118" s="28">
        <v>269765.90000000002</v>
      </c>
      <c r="H118" s="6">
        <v>229</v>
      </c>
      <c r="I118" s="28">
        <v>4314287.7</v>
      </c>
      <c r="J118" s="28">
        <v>0</v>
      </c>
      <c r="K118" s="28">
        <v>0</v>
      </c>
      <c r="L118" s="28">
        <v>4314287.7</v>
      </c>
      <c r="M118" s="28">
        <v>10791.3</v>
      </c>
      <c r="N118" s="31">
        <v>0</v>
      </c>
      <c r="O118" s="28">
        <v>0</v>
      </c>
    </row>
    <row r="119" spans="1:15" x14ac:dyDescent="0.25">
      <c r="A119" s="26" t="s">
        <v>348</v>
      </c>
      <c r="B119" s="27" t="s">
        <v>154</v>
      </c>
      <c r="C119" s="27" t="s">
        <v>155</v>
      </c>
      <c r="D119" s="6">
        <v>1290.5999999999999</v>
      </c>
      <c r="E119" s="6">
        <v>838.5</v>
      </c>
      <c r="F119" s="28">
        <v>10921.043760729999</v>
      </c>
      <c r="G119" s="28">
        <v>1261780.81</v>
      </c>
      <c r="H119" s="6">
        <v>1264</v>
      </c>
      <c r="I119" s="28">
        <v>15641940.109999999</v>
      </c>
      <c r="J119" s="28">
        <v>0</v>
      </c>
      <c r="K119" s="28">
        <v>0</v>
      </c>
      <c r="L119" s="28">
        <v>15641940.109999999</v>
      </c>
      <c r="M119" s="28">
        <v>10791.3</v>
      </c>
      <c r="N119" s="31">
        <v>66</v>
      </c>
      <c r="O119" s="28">
        <v>57663.11</v>
      </c>
    </row>
    <row r="120" spans="1:15" x14ac:dyDescent="0.25">
      <c r="A120" s="26" t="s">
        <v>349</v>
      </c>
      <c r="B120" s="27" t="s">
        <v>154</v>
      </c>
      <c r="C120" s="27" t="s">
        <v>156</v>
      </c>
      <c r="D120" s="6">
        <v>3255.5</v>
      </c>
      <c r="E120" s="6">
        <v>1991.1</v>
      </c>
      <c r="F120" s="28">
        <v>10340.347200460001</v>
      </c>
      <c r="G120" s="28">
        <v>3040675.88</v>
      </c>
      <c r="H120" s="6">
        <v>3247</v>
      </c>
      <c r="I120" s="28">
        <v>37733660.490000002</v>
      </c>
      <c r="J120" s="28">
        <v>0</v>
      </c>
      <c r="K120" s="28">
        <v>0</v>
      </c>
      <c r="L120" s="28">
        <v>37733660.490000002</v>
      </c>
      <c r="M120" s="28">
        <v>10791.3</v>
      </c>
      <c r="N120" s="31">
        <v>533</v>
      </c>
      <c r="O120" s="28">
        <v>440912.4</v>
      </c>
    </row>
    <row r="121" spans="1:15" x14ac:dyDescent="0.25">
      <c r="A121" s="26" t="s">
        <v>350</v>
      </c>
      <c r="B121" s="27" t="s">
        <v>154</v>
      </c>
      <c r="C121" s="27" t="s">
        <v>157</v>
      </c>
      <c r="D121" s="6">
        <v>200.3</v>
      </c>
      <c r="E121" s="6">
        <v>66</v>
      </c>
      <c r="F121" s="28">
        <v>17766.52089489</v>
      </c>
      <c r="G121" s="28">
        <v>176741.08</v>
      </c>
      <c r="H121" s="6">
        <v>198</v>
      </c>
      <c r="I121" s="28">
        <v>3835375.22</v>
      </c>
      <c r="J121" s="28">
        <v>0</v>
      </c>
      <c r="K121" s="28">
        <v>0</v>
      </c>
      <c r="L121" s="28">
        <v>3835375.22</v>
      </c>
      <c r="M121" s="28">
        <v>10791.3</v>
      </c>
      <c r="N121" s="31">
        <v>0</v>
      </c>
      <c r="O121" s="28">
        <v>0</v>
      </c>
    </row>
    <row r="122" spans="1:15" x14ac:dyDescent="0.25">
      <c r="A122" s="26" t="s">
        <v>351</v>
      </c>
      <c r="B122" s="27" t="s">
        <v>154</v>
      </c>
      <c r="C122" s="27" t="s">
        <v>158</v>
      </c>
      <c r="D122" s="6">
        <v>844</v>
      </c>
      <c r="E122" s="6">
        <v>354.6</v>
      </c>
      <c r="F122" s="28">
        <v>11267.075066949999</v>
      </c>
      <c r="G122" s="28">
        <v>479436.58</v>
      </c>
      <c r="H122" s="6">
        <v>833</v>
      </c>
      <c r="I122" s="28">
        <v>10430451.529999999</v>
      </c>
      <c r="J122" s="28">
        <v>0</v>
      </c>
      <c r="K122" s="28">
        <v>0</v>
      </c>
      <c r="L122" s="28">
        <v>10430451.529999999</v>
      </c>
      <c r="M122" s="28">
        <v>10791.3</v>
      </c>
      <c r="N122" s="31">
        <v>51</v>
      </c>
      <c r="O122" s="28">
        <v>45969.67</v>
      </c>
    </row>
    <row r="123" spans="1:15" x14ac:dyDescent="0.25">
      <c r="A123" s="26" t="s">
        <v>352</v>
      </c>
      <c r="B123" s="27" t="s">
        <v>159</v>
      </c>
      <c r="C123" s="27" t="s">
        <v>160</v>
      </c>
      <c r="D123" s="6">
        <v>1338.9</v>
      </c>
      <c r="E123" s="6">
        <v>993.3</v>
      </c>
      <c r="F123" s="28">
        <v>10546.035755970001</v>
      </c>
      <c r="G123" s="28">
        <v>1765881.69</v>
      </c>
      <c r="H123" s="6">
        <v>1281</v>
      </c>
      <c r="I123" s="28">
        <v>16138367.99</v>
      </c>
      <c r="J123" s="28">
        <v>0</v>
      </c>
      <c r="K123" s="28">
        <v>0</v>
      </c>
      <c r="L123" s="28">
        <v>16138367.99</v>
      </c>
      <c r="M123" s="28">
        <v>10791.3</v>
      </c>
      <c r="N123" s="31">
        <v>17</v>
      </c>
      <c r="O123" s="28">
        <v>14342.61</v>
      </c>
    </row>
    <row r="124" spans="1:15" x14ac:dyDescent="0.25">
      <c r="A124" s="26" t="s">
        <v>353</v>
      </c>
      <c r="B124" s="27" t="s">
        <v>159</v>
      </c>
      <c r="C124" s="27" t="s">
        <v>161</v>
      </c>
      <c r="D124" s="6">
        <v>634</v>
      </c>
      <c r="E124" s="6">
        <v>461.4</v>
      </c>
      <c r="F124" s="28">
        <v>11354.041667289999</v>
      </c>
      <c r="G124" s="28">
        <v>884111.07</v>
      </c>
      <c r="H124" s="6">
        <v>554</v>
      </c>
      <c r="I124" s="28">
        <v>8410095.3399999999</v>
      </c>
      <c r="J124" s="28">
        <v>0</v>
      </c>
      <c r="K124" s="28">
        <v>0</v>
      </c>
      <c r="L124" s="28">
        <v>8410095.3399999999</v>
      </c>
      <c r="M124" s="28">
        <v>10791.3</v>
      </c>
      <c r="N124" s="31">
        <v>32</v>
      </c>
      <c r="O124" s="28">
        <v>29066.35</v>
      </c>
    </row>
    <row r="125" spans="1:15" x14ac:dyDescent="0.25">
      <c r="A125" s="26" t="s">
        <v>354</v>
      </c>
      <c r="B125" s="27" t="s">
        <v>159</v>
      </c>
      <c r="C125" s="27" t="s">
        <v>162</v>
      </c>
      <c r="D125" s="6">
        <v>177.3</v>
      </c>
      <c r="E125" s="6">
        <v>151.30000000000001</v>
      </c>
      <c r="F125" s="28">
        <v>18036.58710995</v>
      </c>
      <c r="G125" s="28">
        <v>329363.96000000002</v>
      </c>
      <c r="H125" s="6">
        <v>175</v>
      </c>
      <c r="I125" s="28">
        <v>3635908.41</v>
      </c>
      <c r="J125" s="28">
        <v>0</v>
      </c>
      <c r="K125" s="28">
        <v>0</v>
      </c>
      <c r="L125" s="28">
        <v>3635908.41</v>
      </c>
      <c r="M125" s="28">
        <v>10791.3</v>
      </c>
      <c r="N125" s="31">
        <v>6</v>
      </c>
      <c r="O125" s="28">
        <v>8657.56</v>
      </c>
    </row>
    <row r="126" spans="1:15" x14ac:dyDescent="0.25">
      <c r="A126" s="26" t="s">
        <v>355</v>
      </c>
      <c r="B126" s="27" t="s">
        <v>159</v>
      </c>
      <c r="C126" s="27" t="s">
        <v>163</v>
      </c>
      <c r="D126" s="6">
        <v>356.1</v>
      </c>
      <c r="E126" s="6">
        <v>204.9</v>
      </c>
      <c r="F126" s="28">
        <v>13217.27731652</v>
      </c>
      <c r="G126" s="28">
        <v>324986.40999999997</v>
      </c>
      <c r="H126" s="6">
        <v>342</v>
      </c>
      <c r="I126" s="28">
        <v>5202465.09</v>
      </c>
      <c r="J126" s="28">
        <v>0</v>
      </c>
      <c r="K126" s="28">
        <v>0</v>
      </c>
      <c r="L126" s="28">
        <v>5202465.09</v>
      </c>
      <c r="M126" s="28">
        <v>10791.3</v>
      </c>
      <c r="N126" s="31">
        <v>3</v>
      </c>
      <c r="O126" s="28">
        <v>3172.15</v>
      </c>
    </row>
    <row r="127" spans="1:15" x14ac:dyDescent="0.25">
      <c r="A127" s="26" t="s">
        <v>356</v>
      </c>
      <c r="B127" s="27" t="s">
        <v>159</v>
      </c>
      <c r="C127" s="27" t="s">
        <v>164</v>
      </c>
      <c r="D127" s="6">
        <v>210.5</v>
      </c>
      <c r="E127" s="6">
        <v>93.3</v>
      </c>
      <c r="F127" s="28">
        <v>16730.102941820001</v>
      </c>
      <c r="G127" s="28">
        <v>201650.88</v>
      </c>
      <c r="H127" s="6">
        <v>201</v>
      </c>
      <c r="I127" s="28">
        <v>3824675.96</v>
      </c>
      <c r="J127" s="28">
        <v>0</v>
      </c>
      <c r="K127" s="28">
        <v>0</v>
      </c>
      <c r="L127" s="28">
        <v>3824675.96</v>
      </c>
      <c r="M127" s="28">
        <v>10791.3</v>
      </c>
      <c r="N127" s="31">
        <v>1</v>
      </c>
      <c r="O127" s="28">
        <v>1338.41</v>
      </c>
    </row>
    <row r="128" spans="1:15" x14ac:dyDescent="0.25">
      <c r="A128" s="26" t="s">
        <v>357</v>
      </c>
      <c r="B128" s="27" t="s">
        <v>159</v>
      </c>
      <c r="C128" s="27" t="s">
        <v>165</v>
      </c>
      <c r="D128" s="6">
        <v>305.60000000000002</v>
      </c>
      <c r="E128" s="6">
        <v>153.69999999999999</v>
      </c>
      <c r="F128" s="28">
        <v>14089.193538580001</v>
      </c>
      <c r="G128" s="28">
        <v>266947.18</v>
      </c>
      <c r="H128" s="6">
        <v>290</v>
      </c>
      <c r="I128" s="28">
        <v>4717593.07</v>
      </c>
      <c r="J128" s="28">
        <v>0</v>
      </c>
      <c r="K128" s="28">
        <v>0</v>
      </c>
      <c r="L128" s="28">
        <v>4717593.07</v>
      </c>
      <c r="M128" s="28">
        <v>10791.3</v>
      </c>
      <c r="N128" s="31">
        <v>1</v>
      </c>
      <c r="O128" s="28">
        <v>1127.1400000000001</v>
      </c>
    </row>
    <row r="129" spans="1:15" x14ac:dyDescent="0.25">
      <c r="A129" s="26" t="s">
        <v>358</v>
      </c>
      <c r="B129" s="27" t="s">
        <v>166</v>
      </c>
      <c r="C129" s="27" t="s">
        <v>166</v>
      </c>
      <c r="D129" s="6">
        <v>166.6</v>
      </c>
      <c r="E129" s="6">
        <v>56</v>
      </c>
      <c r="F129" s="28">
        <v>20801.088818870001</v>
      </c>
      <c r="G129" s="28">
        <v>139783.32</v>
      </c>
      <c r="H129" s="6">
        <v>166</v>
      </c>
      <c r="I129" s="28">
        <v>3706908.81</v>
      </c>
      <c r="J129" s="28">
        <v>0</v>
      </c>
      <c r="K129" s="28">
        <v>0</v>
      </c>
      <c r="L129" s="28">
        <v>3706908.81</v>
      </c>
      <c r="M129" s="28">
        <v>10791.3</v>
      </c>
      <c r="N129" s="31">
        <v>1</v>
      </c>
      <c r="O129" s="28">
        <v>1664.09</v>
      </c>
    </row>
    <row r="130" spans="1:15" x14ac:dyDescent="0.25">
      <c r="A130" s="26" t="s">
        <v>359</v>
      </c>
      <c r="B130" s="27" t="s">
        <v>166</v>
      </c>
      <c r="C130" s="27" t="s">
        <v>167</v>
      </c>
      <c r="D130" s="6">
        <v>304</v>
      </c>
      <c r="E130" s="6">
        <v>73</v>
      </c>
      <c r="F130" s="28">
        <v>15713.421610990001</v>
      </c>
      <c r="G130" s="28">
        <v>139970.1</v>
      </c>
      <c r="H130" s="6">
        <v>287</v>
      </c>
      <c r="I130" s="28">
        <v>5064986.5599999996</v>
      </c>
      <c r="J130" s="28">
        <v>0</v>
      </c>
      <c r="K130" s="28">
        <v>0</v>
      </c>
      <c r="L130" s="28">
        <v>5064986.5599999996</v>
      </c>
      <c r="M130" s="28">
        <v>10791.3</v>
      </c>
      <c r="N130" s="31">
        <v>4</v>
      </c>
      <c r="O130" s="28">
        <v>5028.29</v>
      </c>
    </row>
    <row r="131" spans="1:15" x14ac:dyDescent="0.25">
      <c r="A131" s="26" t="s">
        <v>360</v>
      </c>
      <c r="B131" s="27" t="s">
        <v>168</v>
      </c>
      <c r="C131" s="27" t="s">
        <v>169</v>
      </c>
      <c r="D131" s="6">
        <v>705.4</v>
      </c>
      <c r="E131" s="6">
        <v>251.1</v>
      </c>
      <c r="F131" s="28">
        <v>12099.685053769999</v>
      </c>
      <c r="G131" s="28">
        <v>364587.71</v>
      </c>
      <c r="H131" s="6">
        <v>634</v>
      </c>
      <c r="I131" s="28">
        <v>9229260.9100000001</v>
      </c>
      <c r="J131" s="28">
        <v>0</v>
      </c>
      <c r="K131" s="28">
        <v>0</v>
      </c>
      <c r="L131" s="28">
        <v>9229260.9100000001</v>
      </c>
      <c r="M131" s="28">
        <v>10791.3</v>
      </c>
      <c r="N131" s="31">
        <v>0</v>
      </c>
      <c r="O131" s="28">
        <v>0</v>
      </c>
    </row>
    <row r="132" spans="1:15" x14ac:dyDescent="0.25">
      <c r="A132" s="26" t="s">
        <v>361</v>
      </c>
      <c r="B132" s="27" t="s">
        <v>168</v>
      </c>
      <c r="C132" s="27" t="s">
        <v>168</v>
      </c>
      <c r="D132" s="6">
        <v>525.1</v>
      </c>
      <c r="E132" s="6">
        <v>217.4</v>
      </c>
      <c r="F132" s="28">
        <v>12258.11838863</v>
      </c>
      <c r="G132" s="28">
        <v>319789.78999999998</v>
      </c>
      <c r="H132" s="6">
        <v>497</v>
      </c>
      <c r="I132" s="28">
        <v>7031176.7800000003</v>
      </c>
      <c r="J132" s="28">
        <v>0</v>
      </c>
      <c r="K132" s="28">
        <v>0</v>
      </c>
      <c r="L132" s="28">
        <v>7031176.7800000003</v>
      </c>
      <c r="M132" s="28">
        <v>10791.3</v>
      </c>
      <c r="N132" s="31">
        <v>28</v>
      </c>
      <c r="O132" s="28">
        <v>27458.19</v>
      </c>
    </row>
    <row r="133" spans="1:15" x14ac:dyDescent="0.25">
      <c r="A133" s="26" t="s">
        <v>362</v>
      </c>
      <c r="B133" s="27" t="s">
        <v>170</v>
      </c>
      <c r="C133" s="27" t="s">
        <v>171</v>
      </c>
      <c r="D133" s="6">
        <v>553.4</v>
      </c>
      <c r="E133" s="6">
        <v>321.39999999999998</v>
      </c>
      <c r="F133" s="28">
        <v>11370.070944429999</v>
      </c>
      <c r="G133" s="28">
        <v>536694.86</v>
      </c>
      <c r="H133" s="6">
        <v>510</v>
      </c>
      <c r="I133" s="28">
        <v>7145800.7199999997</v>
      </c>
      <c r="J133" s="28">
        <v>0</v>
      </c>
      <c r="K133" s="28">
        <v>0</v>
      </c>
      <c r="L133" s="28">
        <v>7145800.7199999997</v>
      </c>
      <c r="M133" s="28">
        <v>10791.3</v>
      </c>
      <c r="N133" s="31">
        <v>62</v>
      </c>
      <c r="O133" s="28">
        <v>56395.55</v>
      </c>
    </row>
    <row r="134" spans="1:15" x14ac:dyDescent="0.25">
      <c r="A134" s="26" t="s">
        <v>363</v>
      </c>
      <c r="B134" s="27" t="s">
        <v>170</v>
      </c>
      <c r="C134" s="27" t="s">
        <v>172</v>
      </c>
      <c r="D134" s="6">
        <v>293.3</v>
      </c>
      <c r="E134" s="6">
        <v>99</v>
      </c>
      <c r="F134" s="28">
        <v>13673.95108886</v>
      </c>
      <c r="G134" s="28">
        <v>162446.54</v>
      </c>
      <c r="H134" s="6">
        <v>267</v>
      </c>
      <c r="I134" s="28">
        <v>4320932.6100000003</v>
      </c>
      <c r="J134" s="28">
        <v>0</v>
      </c>
      <c r="K134" s="28">
        <v>0</v>
      </c>
      <c r="L134" s="28">
        <v>4320932.6100000003</v>
      </c>
      <c r="M134" s="28">
        <v>10791.3</v>
      </c>
      <c r="N134" s="31">
        <v>9</v>
      </c>
      <c r="O134" s="28">
        <v>9845.24</v>
      </c>
    </row>
    <row r="135" spans="1:15" x14ac:dyDescent="0.25">
      <c r="A135" s="26" t="s">
        <v>364</v>
      </c>
      <c r="B135" s="27" t="s">
        <v>173</v>
      </c>
      <c r="C135" s="27" t="s">
        <v>174</v>
      </c>
      <c r="D135" s="6">
        <v>1569.3</v>
      </c>
      <c r="E135" s="6">
        <v>103.3</v>
      </c>
      <c r="F135" s="28">
        <v>14480.781023359999</v>
      </c>
      <c r="G135" s="28">
        <v>179503.76</v>
      </c>
      <c r="H135" s="6">
        <v>1555</v>
      </c>
      <c r="I135" s="28">
        <v>23259673.48</v>
      </c>
      <c r="J135" s="28">
        <v>0</v>
      </c>
      <c r="K135" s="28">
        <v>0</v>
      </c>
      <c r="L135" s="28">
        <v>23259673.48</v>
      </c>
      <c r="M135" s="28">
        <v>10791.3</v>
      </c>
      <c r="N135" s="31">
        <v>66</v>
      </c>
      <c r="O135" s="28">
        <v>76458.52</v>
      </c>
    </row>
    <row r="136" spans="1:15" x14ac:dyDescent="0.25">
      <c r="A136" s="26" t="s">
        <v>365</v>
      </c>
      <c r="B136" s="27" t="s">
        <v>175</v>
      </c>
      <c r="C136" s="27" t="s">
        <v>176</v>
      </c>
      <c r="D136" s="6">
        <v>194</v>
      </c>
      <c r="E136" s="6">
        <v>138.4</v>
      </c>
      <c r="F136" s="28">
        <v>16696.416552340001</v>
      </c>
      <c r="G136" s="28">
        <v>277294.09000000003</v>
      </c>
      <c r="H136" s="6">
        <v>194</v>
      </c>
      <c r="I136" s="28">
        <v>3641777.45</v>
      </c>
      <c r="J136" s="28">
        <v>0</v>
      </c>
      <c r="K136" s="28">
        <v>0</v>
      </c>
      <c r="L136" s="28">
        <v>3641777.45</v>
      </c>
      <c r="M136" s="28">
        <v>10791.3</v>
      </c>
      <c r="N136" s="31">
        <v>19</v>
      </c>
      <c r="O136" s="28">
        <v>25378.55</v>
      </c>
    </row>
    <row r="137" spans="1:15" x14ac:dyDescent="0.25">
      <c r="A137" s="26" t="s">
        <v>366</v>
      </c>
      <c r="B137" s="27" t="s">
        <v>175</v>
      </c>
      <c r="C137" s="27" t="s">
        <v>177</v>
      </c>
      <c r="D137" s="6">
        <v>1391.9</v>
      </c>
      <c r="E137" s="6">
        <v>971.6</v>
      </c>
      <c r="F137" s="28">
        <v>10424.71247042</v>
      </c>
      <c r="G137" s="28">
        <v>1634939.28</v>
      </c>
      <c r="H137" s="6">
        <v>1273</v>
      </c>
      <c r="I137" s="28">
        <v>16450115.33</v>
      </c>
      <c r="J137" s="28">
        <v>0</v>
      </c>
      <c r="K137" s="28">
        <v>0</v>
      </c>
      <c r="L137" s="28">
        <v>16450115.33</v>
      </c>
      <c r="M137" s="28">
        <v>10791.3</v>
      </c>
      <c r="N137" s="31">
        <v>71</v>
      </c>
      <c r="O137" s="28">
        <v>59212.37</v>
      </c>
    </row>
    <row r="138" spans="1:15" x14ac:dyDescent="0.25">
      <c r="A138" s="26" t="s">
        <v>367</v>
      </c>
      <c r="B138" s="27" t="s">
        <v>175</v>
      </c>
      <c r="C138" s="27" t="s">
        <v>178</v>
      </c>
      <c r="D138" s="6">
        <v>257</v>
      </c>
      <c r="E138" s="6">
        <v>165.8</v>
      </c>
      <c r="F138" s="28">
        <v>14220.339981659999</v>
      </c>
      <c r="G138" s="28">
        <v>282927.88</v>
      </c>
      <c r="H138" s="6">
        <v>257</v>
      </c>
      <c r="I138" s="28">
        <v>4108593.61</v>
      </c>
      <c r="J138" s="28">
        <v>0</v>
      </c>
      <c r="K138" s="28">
        <v>0</v>
      </c>
      <c r="L138" s="28">
        <v>4108593.61</v>
      </c>
      <c r="M138" s="28">
        <v>10791.3</v>
      </c>
      <c r="N138" s="31">
        <v>44</v>
      </c>
      <c r="O138" s="28">
        <v>50055.6</v>
      </c>
    </row>
    <row r="139" spans="1:15" x14ac:dyDescent="0.25">
      <c r="A139" s="26" t="s">
        <v>368</v>
      </c>
      <c r="B139" s="27" t="s">
        <v>175</v>
      </c>
      <c r="C139" s="27" t="s">
        <v>179</v>
      </c>
      <c r="D139" s="6">
        <v>247.8</v>
      </c>
      <c r="E139" s="6">
        <v>130.19999999999999</v>
      </c>
      <c r="F139" s="28">
        <v>14866.11641447</v>
      </c>
      <c r="G139" s="28">
        <v>242066.68</v>
      </c>
      <c r="H139" s="6">
        <v>245</v>
      </c>
      <c r="I139" s="28">
        <v>4059192.23</v>
      </c>
      <c r="J139" s="28">
        <v>0</v>
      </c>
      <c r="K139" s="28">
        <v>0</v>
      </c>
      <c r="L139" s="28">
        <v>4059192.23</v>
      </c>
      <c r="M139" s="28">
        <v>10791.3</v>
      </c>
      <c r="N139" s="31">
        <v>14</v>
      </c>
      <c r="O139" s="28">
        <v>16650.05</v>
      </c>
    </row>
    <row r="140" spans="1:15" x14ac:dyDescent="0.25">
      <c r="A140" s="26" t="s">
        <v>369</v>
      </c>
      <c r="B140" s="27" t="s">
        <v>180</v>
      </c>
      <c r="C140" s="27" t="s">
        <v>181</v>
      </c>
      <c r="D140" s="6">
        <v>14153.3</v>
      </c>
      <c r="E140" s="6">
        <v>10903.2</v>
      </c>
      <c r="F140" s="28">
        <v>10135.78519305</v>
      </c>
      <c r="G140" s="28">
        <v>19883785.309999999</v>
      </c>
      <c r="H140" s="6">
        <v>13484</v>
      </c>
      <c r="I140" s="28">
        <v>163687034.40000001</v>
      </c>
      <c r="J140" s="28">
        <v>0</v>
      </c>
      <c r="K140" s="28">
        <v>0</v>
      </c>
      <c r="L140" s="28">
        <v>163687034.40000001</v>
      </c>
      <c r="M140" s="28">
        <v>10791.3</v>
      </c>
      <c r="N140" s="31">
        <v>421</v>
      </c>
      <c r="O140" s="28">
        <v>341373.25</v>
      </c>
    </row>
    <row r="141" spans="1:15" x14ac:dyDescent="0.25">
      <c r="A141" s="26" t="s">
        <v>370</v>
      </c>
      <c r="B141" s="27" t="s">
        <v>180</v>
      </c>
      <c r="C141" s="27" t="s">
        <v>182</v>
      </c>
      <c r="D141" s="6">
        <v>10245</v>
      </c>
      <c r="E141" s="6">
        <v>5259.7</v>
      </c>
      <c r="F141" s="28">
        <v>10037.19233987</v>
      </c>
      <c r="G141" s="28">
        <v>6634700.7699999996</v>
      </c>
      <c r="H141" s="6">
        <v>10051</v>
      </c>
      <c r="I141" s="28">
        <v>110421167.34999999</v>
      </c>
      <c r="J141" s="28">
        <v>0</v>
      </c>
      <c r="K141" s="28">
        <v>0</v>
      </c>
      <c r="L141" s="28">
        <v>110421167.34999999</v>
      </c>
      <c r="M141" s="28">
        <v>10791.3</v>
      </c>
      <c r="N141" s="31">
        <v>200</v>
      </c>
      <c r="O141" s="28">
        <v>160595.07999999999</v>
      </c>
    </row>
    <row r="142" spans="1:15" x14ac:dyDescent="0.25">
      <c r="A142" s="26" t="s">
        <v>371</v>
      </c>
      <c r="B142" s="27" t="s">
        <v>183</v>
      </c>
      <c r="C142" s="27" t="s">
        <v>184</v>
      </c>
      <c r="D142" s="6">
        <v>670</v>
      </c>
      <c r="E142" s="6">
        <v>245</v>
      </c>
      <c r="F142" s="28">
        <v>11234.05664707</v>
      </c>
      <c r="G142" s="28">
        <v>353736.16</v>
      </c>
      <c r="H142" s="6">
        <v>642</v>
      </c>
      <c r="I142" s="28">
        <v>8211234.9299999997</v>
      </c>
      <c r="J142" s="28">
        <v>0</v>
      </c>
      <c r="K142" s="28">
        <v>0</v>
      </c>
      <c r="L142" s="28">
        <v>8211234.9299999997</v>
      </c>
      <c r="M142" s="28">
        <v>10791.3</v>
      </c>
      <c r="N142" s="31">
        <v>17</v>
      </c>
      <c r="O142" s="28">
        <v>15278.32</v>
      </c>
    </row>
    <row r="143" spans="1:15" x14ac:dyDescent="0.25">
      <c r="A143" s="26" t="s">
        <v>372</v>
      </c>
      <c r="B143" s="27" t="s">
        <v>183</v>
      </c>
      <c r="C143" s="27" t="s">
        <v>185</v>
      </c>
      <c r="D143" s="6">
        <v>462.5</v>
      </c>
      <c r="E143" s="6">
        <v>220.7</v>
      </c>
      <c r="F143" s="28">
        <v>11428.05947728</v>
      </c>
      <c r="G143" s="28">
        <v>316088.7</v>
      </c>
      <c r="H143" s="6">
        <v>457</v>
      </c>
      <c r="I143" s="28">
        <v>5812243.7300000004</v>
      </c>
      <c r="J143" s="28">
        <v>0</v>
      </c>
      <c r="K143" s="28">
        <v>0</v>
      </c>
      <c r="L143" s="28">
        <v>5812243.7300000004</v>
      </c>
      <c r="M143" s="28">
        <v>10791.3</v>
      </c>
      <c r="N143" s="31">
        <v>1</v>
      </c>
      <c r="O143" s="28">
        <v>914.24</v>
      </c>
    </row>
    <row r="144" spans="1:15" x14ac:dyDescent="0.25">
      <c r="A144" s="26" t="s">
        <v>373</v>
      </c>
      <c r="B144" s="27" t="s">
        <v>186</v>
      </c>
      <c r="C144" s="27" t="s">
        <v>187</v>
      </c>
      <c r="D144" s="6">
        <v>383.9</v>
      </c>
      <c r="E144" s="6">
        <v>214.4</v>
      </c>
      <c r="F144" s="28">
        <v>12754.888621730001</v>
      </c>
      <c r="G144" s="28">
        <v>328157.77</v>
      </c>
      <c r="H144" s="6">
        <v>360</v>
      </c>
      <c r="I144" s="28">
        <v>5411602.79</v>
      </c>
      <c r="J144" s="28">
        <v>0</v>
      </c>
      <c r="K144" s="28">
        <v>0</v>
      </c>
      <c r="L144" s="28">
        <v>5411602.79</v>
      </c>
      <c r="M144" s="28">
        <v>10791.3</v>
      </c>
      <c r="N144" s="31">
        <v>6</v>
      </c>
      <c r="O144" s="28">
        <v>6122.35</v>
      </c>
    </row>
    <row r="145" spans="1:15" x14ac:dyDescent="0.25">
      <c r="A145" s="26" t="s">
        <v>374</v>
      </c>
      <c r="B145" s="27" t="s">
        <v>186</v>
      </c>
      <c r="C145" s="27" t="s">
        <v>188</v>
      </c>
      <c r="D145" s="6">
        <v>966.5</v>
      </c>
      <c r="E145" s="6">
        <v>684.2</v>
      </c>
      <c r="F145" s="28">
        <v>10631.438845999999</v>
      </c>
      <c r="G145" s="28">
        <v>1094505.78</v>
      </c>
      <c r="H145" s="6">
        <v>926</v>
      </c>
      <c r="I145" s="28">
        <v>11816616.58</v>
      </c>
      <c r="J145" s="28">
        <v>0</v>
      </c>
      <c r="K145" s="28">
        <v>0</v>
      </c>
      <c r="L145" s="28">
        <v>11816616.58</v>
      </c>
      <c r="M145" s="28">
        <v>10791.3</v>
      </c>
      <c r="N145" s="31">
        <v>10</v>
      </c>
      <c r="O145" s="28">
        <v>8505.15</v>
      </c>
    </row>
    <row r="146" spans="1:15" x14ac:dyDescent="0.25">
      <c r="A146" s="26" t="s">
        <v>375</v>
      </c>
      <c r="B146" s="27" t="s">
        <v>186</v>
      </c>
      <c r="C146" s="27" t="s">
        <v>189</v>
      </c>
      <c r="D146" s="6">
        <v>314.39999999999998</v>
      </c>
      <c r="E146" s="6">
        <v>141.1</v>
      </c>
      <c r="F146" s="28">
        <v>13745.403012139999</v>
      </c>
      <c r="G146" s="28">
        <v>236965.75</v>
      </c>
      <c r="H146" s="6">
        <v>293</v>
      </c>
      <c r="I146" s="28">
        <v>4712022.42</v>
      </c>
      <c r="J146" s="28">
        <v>0</v>
      </c>
      <c r="K146" s="28">
        <v>0</v>
      </c>
      <c r="L146" s="28">
        <v>4712022.42</v>
      </c>
      <c r="M146" s="28">
        <v>10791.3</v>
      </c>
      <c r="N146" s="31">
        <v>5</v>
      </c>
      <c r="O146" s="28">
        <v>5498.16</v>
      </c>
    </row>
    <row r="147" spans="1:15" x14ac:dyDescent="0.25">
      <c r="A147" s="26" t="s">
        <v>376</v>
      </c>
      <c r="B147" s="27" t="s">
        <v>190</v>
      </c>
      <c r="C147" s="27" t="s">
        <v>191</v>
      </c>
      <c r="D147" s="6">
        <v>419.8</v>
      </c>
      <c r="E147" s="6">
        <v>115</v>
      </c>
      <c r="F147" s="28">
        <v>13352.242414439999</v>
      </c>
      <c r="G147" s="28">
        <v>184260.95</v>
      </c>
      <c r="H147" s="6">
        <v>418</v>
      </c>
      <c r="I147" s="28">
        <v>6005312.2199999997</v>
      </c>
      <c r="J147" s="28">
        <v>0</v>
      </c>
      <c r="K147" s="28">
        <v>0</v>
      </c>
      <c r="L147" s="28">
        <v>6005312.2199999997</v>
      </c>
      <c r="M147" s="28">
        <v>10791.3</v>
      </c>
      <c r="N147" s="31">
        <v>17</v>
      </c>
      <c r="O147" s="28">
        <v>18159.05</v>
      </c>
    </row>
    <row r="148" spans="1:15" x14ac:dyDescent="0.25">
      <c r="A148" s="26" t="s">
        <v>377</v>
      </c>
      <c r="B148" s="27" t="s">
        <v>190</v>
      </c>
      <c r="C148" s="27" t="s">
        <v>192</v>
      </c>
      <c r="D148" s="6">
        <v>2661.2</v>
      </c>
      <c r="E148" s="6">
        <v>491</v>
      </c>
      <c r="F148" s="28">
        <v>11002.09424289</v>
      </c>
      <c r="G148" s="28">
        <v>685848.8</v>
      </c>
      <c r="H148" s="6">
        <v>2572</v>
      </c>
      <c r="I148" s="28">
        <v>30596906</v>
      </c>
      <c r="J148" s="28">
        <v>0</v>
      </c>
      <c r="K148" s="28">
        <v>0</v>
      </c>
      <c r="L148" s="28">
        <v>30596906</v>
      </c>
      <c r="M148" s="28">
        <v>10791.3</v>
      </c>
      <c r="N148" s="31">
        <v>184</v>
      </c>
      <c r="O148" s="28">
        <v>161950.82999999999</v>
      </c>
    </row>
    <row r="149" spans="1:15" x14ac:dyDescent="0.25">
      <c r="A149" s="26" t="s">
        <v>378</v>
      </c>
      <c r="B149" s="27" t="s">
        <v>190</v>
      </c>
      <c r="C149" s="27" t="s">
        <v>193</v>
      </c>
      <c r="D149" s="6">
        <v>310</v>
      </c>
      <c r="E149" s="6">
        <v>85</v>
      </c>
      <c r="F149" s="28">
        <v>15206.575975399999</v>
      </c>
      <c r="G149" s="28">
        <v>163064.62</v>
      </c>
      <c r="H149" s="6">
        <v>300</v>
      </c>
      <c r="I149" s="28">
        <v>5028829.8899999997</v>
      </c>
      <c r="J149" s="28">
        <v>0</v>
      </c>
      <c r="K149" s="28">
        <v>0</v>
      </c>
      <c r="L149" s="28">
        <v>5028829.8899999997</v>
      </c>
      <c r="M149" s="28">
        <v>10791.3</v>
      </c>
      <c r="N149" s="31">
        <v>14</v>
      </c>
      <c r="O149" s="28">
        <v>17031.37</v>
      </c>
    </row>
    <row r="150" spans="1:15" x14ac:dyDescent="0.25">
      <c r="A150" s="26" t="s">
        <v>379</v>
      </c>
      <c r="B150" s="27" t="s">
        <v>194</v>
      </c>
      <c r="C150" s="27" t="s">
        <v>195</v>
      </c>
      <c r="D150" s="6">
        <v>164.9</v>
      </c>
      <c r="E150" s="6">
        <v>118</v>
      </c>
      <c r="F150" s="28">
        <v>17786.957933729998</v>
      </c>
      <c r="G150" s="28">
        <v>260455.36</v>
      </c>
      <c r="H150" s="6">
        <v>196</v>
      </c>
      <c r="I150" s="28">
        <v>3297793.59</v>
      </c>
      <c r="J150" s="28">
        <v>0</v>
      </c>
      <c r="K150" s="28">
        <v>0</v>
      </c>
      <c r="L150" s="28">
        <v>3297793.59</v>
      </c>
      <c r="M150" s="28">
        <v>10791.3</v>
      </c>
      <c r="N150" s="31">
        <v>3</v>
      </c>
      <c r="O150" s="28">
        <v>4268.87</v>
      </c>
    </row>
    <row r="151" spans="1:15" x14ac:dyDescent="0.25">
      <c r="A151" s="26" t="s">
        <v>380</v>
      </c>
      <c r="B151" s="27" t="s">
        <v>194</v>
      </c>
      <c r="C151" s="27" t="s">
        <v>149</v>
      </c>
      <c r="D151" s="6">
        <v>193.5</v>
      </c>
      <c r="E151" s="6">
        <v>150</v>
      </c>
      <c r="F151" s="28">
        <v>19375.932440680001</v>
      </c>
      <c r="G151" s="28">
        <v>348766.78</v>
      </c>
      <c r="H151" s="6">
        <v>196</v>
      </c>
      <c r="I151" s="28">
        <v>4205760.08</v>
      </c>
      <c r="J151" s="28">
        <v>0</v>
      </c>
      <c r="K151" s="28">
        <v>0</v>
      </c>
      <c r="L151" s="28">
        <v>4205760.08</v>
      </c>
      <c r="M151" s="28">
        <v>10791.3</v>
      </c>
      <c r="N151" s="31">
        <v>5</v>
      </c>
      <c r="O151" s="28">
        <v>7750.37</v>
      </c>
    </row>
    <row r="152" spans="1:15" x14ac:dyDescent="0.25">
      <c r="A152" s="26" t="s">
        <v>381</v>
      </c>
      <c r="B152" s="27" t="s">
        <v>194</v>
      </c>
      <c r="C152" s="27" t="s">
        <v>196</v>
      </c>
      <c r="D152" s="6">
        <v>577.1</v>
      </c>
      <c r="E152" s="6">
        <v>540.29999999999995</v>
      </c>
      <c r="F152" s="28">
        <v>11102.918694919999</v>
      </c>
      <c r="G152" s="28">
        <v>1149193.73</v>
      </c>
      <c r="H152" s="6">
        <v>576</v>
      </c>
      <c r="I152" s="28">
        <v>7821202.0700000003</v>
      </c>
      <c r="J152" s="28">
        <v>0</v>
      </c>
      <c r="K152" s="28">
        <v>0</v>
      </c>
      <c r="L152" s="28">
        <v>7821202.0700000003</v>
      </c>
      <c r="M152" s="28">
        <v>10791.3</v>
      </c>
      <c r="N152" s="31">
        <v>102</v>
      </c>
      <c r="O152" s="28">
        <v>90599.82</v>
      </c>
    </row>
    <row r="153" spans="1:15" x14ac:dyDescent="0.25">
      <c r="A153" s="26" t="s">
        <v>382</v>
      </c>
      <c r="B153" s="27" t="s">
        <v>197</v>
      </c>
      <c r="C153" s="27" t="s">
        <v>198</v>
      </c>
      <c r="D153" s="6">
        <v>74.3</v>
      </c>
      <c r="E153" s="6">
        <v>44</v>
      </c>
      <c r="F153" s="28">
        <v>22401.26181873</v>
      </c>
      <c r="G153" s="28">
        <v>118278.66</v>
      </c>
      <c r="H153" s="6">
        <v>72</v>
      </c>
      <c r="I153" s="28">
        <v>1893445.02</v>
      </c>
      <c r="J153" s="28">
        <v>0</v>
      </c>
      <c r="K153" s="28">
        <v>0</v>
      </c>
      <c r="L153" s="28">
        <v>1893445.02</v>
      </c>
      <c r="M153" s="28">
        <v>10791.3</v>
      </c>
      <c r="N153" s="31">
        <v>6</v>
      </c>
      <c r="O153" s="28">
        <v>10752.61</v>
      </c>
    </row>
    <row r="154" spans="1:15" x14ac:dyDescent="0.25">
      <c r="A154" s="26" t="s">
        <v>383</v>
      </c>
      <c r="B154" s="27" t="s">
        <v>199</v>
      </c>
      <c r="C154" s="27" t="s">
        <v>200</v>
      </c>
      <c r="D154" s="6">
        <v>844.6</v>
      </c>
      <c r="E154" s="6">
        <v>245.7</v>
      </c>
      <c r="F154" s="28">
        <v>14761.51235612</v>
      </c>
      <c r="G154" s="28">
        <v>435228.43</v>
      </c>
      <c r="H154" s="6">
        <v>799</v>
      </c>
      <c r="I154" s="28">
        <v>13370071.560000001</v>
      </c>
      <c r="J154" s="28">
        <v>0</v>
      </c>
      <c r="K154" s="28">
        <v>0</v>
      </c>
      <c r="L154" s="28">
        <v>13370071.560000001</v>
      </c>
      <c r="M154" s="28">
        <v>10791.3</v>
      </c>
      <c r="N154" s="31">
        <v>59</v>
      </c>
      <c r="O154" s="28">
        <v>69674.34</v>
      </c>
    </row>
    <row r="155" spans="1:15" x14ac:dyDescent="0.25">
      <c r="A155" s="26" t="s">
        <v>384</v>
      </c>
      <c r="B155" s="27" t="s">
        <v>199</v>
      </c>
      <c r="C155" s="27" t="s">
        <v>201</v>
      </c>
      <c r="D155" s="6">
        <v>170</v>
      </c>
      <c r="E155" s="6">
        <v>90.3</v>
      </c>
      <c r="F155" s="28">
        <v>19612.986118410001</v>
      </c>
      <c r="G155" s="28">
        <v>212526.32</v>
      </c>
      <c r="H155" s="6">
        <v>170</v>
      </c>
      <c r="I155" s="28">
        <v>3659286.27</v>
      </c>
      <c r="J155" s="28">
        <v>0</v>
      </c>
      <c r="K155" s="28">
        <v>0</v>
      </c>
      <c r="L155" s="28">
        <v>3659286.27</v>
      </c>
      <c r="M155" s="28">
        <v>10791.3</v>
      </c>
      <c r="N155" s="31">
        <v>8</v>
      </c>
      <c r="O155" s="28">
        <v>12552.31</v>
      </c>
    </row>
    <row r="156" spans="1:15" x14ac:dyDescent="0.25">
      <c r="A156" s="26" t="s">
        <v>385</v>
      </c>
      <c r="B156" s="27" t="s">
        <v>202</v>
      </c>
      <c r="C156" s="27" t="s">
        <v>203</v>
      </c>
      <c r="D156" s="6">
        <v>661.3</v>
      </c>
      <c r="E156" s="6">
        <v>425.9</v>
      </c>
      <c r="F156" s="28">
        <v>11157.59306607</v>
      </c>
      <c r="G156" s="28">
        <v>846082.26</v>
      </c>
      <c r="H156" s="6">
        <v>647</v>
      </c>
      <c r="I156" s="28">
        <v>7647683.2000000002</v>
      </c>
      <c r="J156" s="28">
        <v>0</v>
      </c>
      <c r="K156" s="28">
        <v>0</v>
      </c>
      <c r="L156" s="28">
        <v>7647683.2000000002</v>
      </c>
      <c r="M156" s="28">
        <v>10791.3</v>
      </c>
      <c r="N156" s="31">
        <v>17</v>
      </c>
      <c r="O156" s="28">
        <v>15174.33</v>
      </c>
    </row>
    <row r="157" spans="1:15" x14ac:dyDescent="0.25">
      <c r="A157" s="26" t="s">
        <v>386</v>
      </c>
      <c r="B157" s="27" t="s">
        <v>202</v>
      </c>
      <c r="C157" s="27" t="s">
        <v>204</v>
      </c>
      <c r="D157" s="6">
        <v>130.5</v>
      </c>
      <c r="E157" s="6">
        <v>71.5</v>
      </c>
      <c r="F157" s="28">
        <v>19270.600027609999</v>
      </c>
      <c r="G157" s="28">
        <v>165341.75</v>
      </c>
      <c r="H157" s="6">
        <v>130</v>
      </c>
      <c r="I157" s="28">
        <v>2780155.05</v>
      </c>
      <c r="J157" s="28">
        <v>0</v>
      </c>
      <c r="K157" s="28">
        <v>0</v>
      </c>
      <c r="L157" s="28">
        <v>2780155.05</v>
      </c>
      <c r="M157" s="28">
        <v>10791.3</v>
      </c>
      <c r="N157" s="31">
        <v>0</v>
      </c>
      <c r="O157" s="28">
        <v>0</v>
      </c>
    </row>
    <row r="158" spans="1:15" x14ac:dyDescent="0.25">
      <c r="A158" s="26" t="s">
        <v>387</v>
      </c>
      <c r="B158" s="27" t="s">
        <v>205</v>
      </c>
      <c r="C158" s="27" t="s">
        <v>205</v>
      </c>
      <c r="D158" s="6">
        <v>3432.3</v>
      </c>
      <c r="E158" s="6">
        <v>1305.2</v>
      </c>
      <c r="F158" s="28">
        <v>11275.535336659999</v>
      </c>
      <c r="G158" s="28">
        <v>1905231.78</v>
      </c>
      <c r="H158" s="6">
        <v>3311</v>
      </c>
      <c r="I158" s="28">
        <v>41747412.399999999</v>
      </c>
      <c r="J158" s="28">
        <v>0</v>
      </c>
      <c r="K158" s="28">
        <v>0</v>
      </c>
      <c r="L158" s="28">
        <v>41747412.399999999</v>
      </c>
      <c r="M158" s="28">
        <v>10791.3</v>
      </c>
      <c r="N158" s="31">
        <v>611</v>
      </c>
      <c r="O158" s="28">
        <v>551148.17000000004</v>
      </c>
    </row>
    <row r="159" spans="1:15" x14ac:dyDescent="0.25">
      <c r="A159" s="26" t="s">
        <v>388</v>
      </c>
      <c r="B159" s="27" t="s">
        <v>206</v>
      </c>
      <c r="C159" s="27" t="s">
        <v>207</v>
      </c>
      <c r="D159" s="6">
        <v>295.7</v>
      </c>
      <c r="E159" s="6">
        <v>214.5</v>
      </c>
      <c r="F159" s="28">
        <v>14380.651540209999</v>
      </c>
      <c r="G159" s="28">
        <v>370157.97</v>
      </c>
      <c r="H159" s="6">
        <v>269</v>
      </c>
      <c r="I159" s="28">
        <v>4765168.7699999996</v>
      </c>
      <c r="J159" s="28">
        <v>0</v>
      </c>
      <c r="K159" s="28">
        <v>0</v>
      </c>
      <c r="L159" s="28">
        <v>4765168.7699999996</v>
      </c>
      <c r="M159" s="28">
        <v>10791.3</v>
      </c>
      <c r="N159" s="31">
        <v>3</v>
      </c>
      <c r="O159" s="28">
        <v>3451.36</v>
      </c>
    </row>
    <row r="160" spans="1:15" x14ac:dyDescent="0.25">
      <c r="A160" s="26" t="s">
        <v>389</v>
      </c>
      <c r="B160" s="27" t="s">
        <v>206</v>
      </c>
      <c r="C160" s="27" t="s">
        <v>208</v>
      </c>
      <c r="D160" s="6">
        <v>1952.4</v>
      </c>
      <c r="E160" s="6">
        <v>635.29999999999995</v>
      </c>
      <c r="F160" s="28">
        <v>10634.06807628</v>
      </c>
      <c r="G160" s="28">
        <v>838375.5</v>
      </c>
      <c r="H160" s="6">
        <v>1740</v>
      </c>
      <c r="I160" s="28">
        <v>21970505.670000002</v>
      </c>
      <c r="J160" s="28">
        <v>0</v>
      </c>
      <c r="K160" s="28">
        <v>0</v>
      </c>
      <c r="L160" s="28">
        <v>21970505.670000002</v>
      </c>
      <c r="M160" s="28">
        <v>10791.3</v>
      </c>
      <c r="N160" s="31">
        <v>32</v>
      </c>
      <c r="O160" s="28">
        <v>27223.21</v>
      </c>
    </row>
    <row r="161" spans="1:15" x14ac:dyDescent="0.25">
      <c r="A161" s="26" t="s">
        <v>390</v>
      </c>
      <c r="B161" s="27" t="s">
        <v>209</v>
      </c>
      <c r="C161" s="27" t="s">
        <v>210</v>
      </c>
      <c r="D161" s="6">
        <v>403</v>
      </c>
      <c r="E161" s="6">
        <v>225.7</v>
      </c>
      <c r="F161" s="28">
        <v>12670.49883529</v>
      </c>
      <c r="G161" s="28">
        <v>343167.79</v>
      </c>
      <c r="H161" s="6">
        <v>395</v>
      </c>
      <c r="I161" s="28">
        <v>5643145.6299999999</v>
      </c>
      <c r="J161" s="28">
        <v>0</v>
      </c>
      <c r="K161" s="28">
        <v>0</v>
      </c>
      <c r="L161" s="28">
        <v>5643145.6299999999</v>
      </c>
      <c r="M161" s="28">
        <v>10791.3</v>
      </c>
      <c r="N161" s="31">
        <v>4</v>
      </c>
      <c r="O161" s="28">
        <v>4054.56</v>
      </c>
    </row>
    <row r="162" spans="1:15" x14ac:dyDescent="0.25">
      <c r="A162" s="26" t="s">
        <v>391</v>
      </c>
      <c r="B162" s="27" t="s">
        <v>209</v>
      </c>
      <c r="C162" s="27" t="s">
        <v>211</v>
      </c>
      <c r="D162" s="6">
        <v>82.4</v>
      </c>
      <c r="E162" s="6">
        <v>51.1</v>
      </c>
      <c r="F162" s="28">
        <v>21115.720360840001</v>
      </c>
      <c r="G162" s="28">
        <v>129481.60000000001</v>
      </c>
      <c r="H162" s="6">
        <v>75</v>
      </c>
      <c r="I162" s="28">
        <v>1991377.31</v>
      </c>
      <c r="J162" s="28">
        <v>0</v>
      </c>
      <c r="K162" s="28">
        <v>0</v>
      </c>
      <c r="L162" s="28">
        <v>1991377.31</v>
      </c>
      <c r="M162" s="28">
        <v>10791.3</v>
      </c>
      <c r="N162" s="31">
        <v>13</v>
      </c>
      <c r="O162" s="28">
        <v>21960.35</v>
      </c>
    </row>
    <row r="163" spans="1:15" x14ac:dyDescent="0.25">
      <c r="A163" s="26" t="s">
        <v>392</v>
      </c>
      <c r="B163" s="27" t="s">
        <v>209</v>
      </c>
      <c r="C163" s="27" t="s">
        <v>212</v>
      </c>
      <c r="D163" s="6">
        <v>192.1</v>
      </c>
      <c r="E163" s="6">
        <v>104.6</v>
      </c>
      <c r="F163" s="28">
        <v>17527.195028390001</v>
      </c>
      <c r="G163" s="28">
        <v>220001.35</v>
      </c>
      <c r="H163" s="6">
        <v>178</v>
      </c>
      <c r="I163" s="28">
        <v>3689779.86</v>
      </c>
      <c r="J163" s="28">
        <v>0</v>
      </c>
      <c r="K163" s="28">
        <v>0</v>
      </c>
      <c r="L163" s="28">
        <v>3689779.86</v>
      </c>
      <c r="M163" s="28">
        <v>10791.3</v>
      </c>
      <c r="N163" s="31">
        <v>2</v>
      </c>
      <c r="O163" s="28">
        <v>2804.35</v>
      </c>
    </row>
    <row r="164" spans="1:15" x14ac:dyDescent="0.25">
      <c r="A164" s="26" t="s">
        <v>393</v>
      </c>
      <c r="B164" s="27" t="s">
        <v>209</v>
      </c>
      <c r="C164" s="27" t="s">
        <v>213</v>
      </c>
      <c r="D164" s="6">
        <v>125.8</v>
      </c>
      <c r="E164" s="6">
        <v>54</v>
      </c>
      <c r="F164" s="28">
        <v>20009.814319230001</v>
      </c>
      <c r="G164" s="28">
        <v>145506.75</v>
      </c>
      <c r="H164" s="6">
        <v>117</v>
      </c>
      <c r="I164" s="28">
        <v>2767543.75</v>
      </c>
      <c r="J164" s="28">
        <v>0</v>
      </c>
      <c r="K164" s="28">
        <v>0</v>
      </c>
      <c r="L164" s="28">
        <v>2767543.75</v>
      </c>
      <c r="M164" s="28">
        <v>10791.3</v>
      </c>
      <c r="N164" s="31">
        <v>3</v>
      </c>
      <c r="O164" s="28">
        <v>4802.3599999999997</v>
      </c>
    </row>
    <row r="165" spans="1:15" x14ac:dyDescent="0.25">
      <c r="A165" s="26" t="s">
        <v>394</v>
      </c>
      <c r="B165" s="27" t="s">
        <v>209</v>
      </c>
      <c r="C165" s="27" t="s">
        <v>214</v>
      </c>
      <c r="D165" s="6">
        <v>71</v>
      </c>
      <c r="E165" s="6">
        <v>33</v>
      </c>
      <c r="F165" s="28">
        <v>21386.422033070001</v>
      </c>
      <c r="G165" s="28">
        <v>91752.23</v>
      </c>
      <c r="H165" s="6">
        <v>71</v>
      </c>
      <c r="I165" s="28">
        <v>1710188.19</v>
      </c>
      <c r="J165" s="28">
        <v>0</v>
      </c>
      <c r="K165" s="28">
        <v>0</v>
      </c>
      <c r="L165" s="28">
        <v>1710188.19</v>
      </c>
      <c r="M165" s="28">
        <v>10791.3</v>
      </c>
      <c r="N165" s="31">
        <v>0</v>
      </c>
      <c r="O165" s="28">
        <v>0</v>
      </c>
    </row>
    <row r="166" spans="1:15" x14ac:dyDescent="0.25">
      <c r="A166" s="26" t="s">
        <v>395</v>
      </c>
      <c r="B166" s="27" t="s">
        <v>215</v>
      </c>
      <c r="C166" s="27" t="s">
        <v>216</v>
      </c>
      <c r="D166" s="6">
        <v>1732.8</v>
      </c>
      <c r="E166" s="6">
        <v>1029</v>
      </c>
      <c r="F166" s="28">
        <v>10599.70788292</v>
      </c>
      <c r="G166" s="28">
        <v>1448227.28</v>
      </c>
      <c r="H166" s="6">
        <v>1637</v>
      </c>
      <c r="I166" s="28">
        <v>20277824.690000001</v>
      </c>
      <c r="J166" s="28">
        <v>0</v>
      </c>
      <c r="K166" s="28">
        <v>0</v>
      </c>
      <c r="L166" s="28">
        <v>20277824.690000001</v>
      </c>
      <c r="M166" s="28">
        <v>10791.3</v>
      </c>
      <c r="N166" s="31">
        <v>182</v>
      </c>
      <c r="O166" s="28">
        <v>154331.75</v>
      </c>
    </row>
    <row r="167" spans="1:15" x14ac:dyDescent="0.25">
      <c r="A167" s="26" t="s">
        <v>396</v>
      </c>
      <c r="B167" s="27" t="s">
        <v>215</v>
      </c>
      <c r="C167" s="27" t="s">
        <v>217</v>
      </c>
      <c r="D167" s="6">
        <v>2013</v>
      </c>
      <c r="E167" s="6">
        <v>745</v>
      </c>
      <c r="F167" s="28">
        <v>10383.824705589999</v>
      </c>
      <c r="G167" s="28">
        <v>928313.93</v>
      </c>
      <c r="H167" s="6">
        <v>2000</v>
      </c>
      <c r="I167" s="28">
        <v>22248675.289999999</v>
      </c>
      <c r="J167" s="28">
        <v>0</v>
      </c>
      <c r="K167" s="28">
        <v>0</v>
      </c>
      <c r="L167" s="28">
        <v>22248675.289999999</v>
      </c>
      <c r="M167" s="28">
        <v>10791.3</v>
      </c>
      <c r="N167" s="31">
        <v>72</v>
      </c>
      <c r="O167" s="28">
        <v>59810.83</v>
      </c>
    </row>
    <row r="168" spans="1:15" x14ac:dyDescent="0.25">
      <c r="A168" s="26" t="s">
        <v>397</v>
      </c>
      <c r="B168" s="27" t="s">
        <v>215</v>
      </c>
      <c r="C168" s="27" t="s">
        <v>218</v>
      </c>
      <c r="D168" s="6">
        <v>2543.1999999999998</v>
      </c>
      <c r="E168" s="6">
        <v>1373.7</v>
      </c>
      <c r="F168" s="28">
        <v>10362.09279932</v>
      </c>
      <c r="G168" s="28">
        <v>1773942.42</v>
      </c>
      <c r="H168" s="6">
        <v>2476</v>
      </c>
      <c r="I168" s="28">
        <v>28782923.780000001</v>
      </c>
      <c r="J168" s="28">
        <v>0</v>
      </c>
      <c r="K168" s="28">
        <v>0</v>
      </c>
      <c r="L168" s="28">
        <v>28782923.780000001</v>
      </c>
      <c r="M168" s="28">
        <v>10791.3</v>
      </c>
      <c r="N168" s="31">
        <v>246</v>
      </c>
      <c r="O168" s="28">
        <v>203925.99</v>
      </c>
    </row>
    <row r="169" spans="1:15" x14ac:dyDescent="0.25">
      <c r="A169" s="26" t="s">
        <v>398</v>
      </c>
      <c r="B169" s="27" t="s">
        <v>215</v>
      </c>
      <c r="C169" s="27" t="s">
        <v>219</v>
      </c>
      <c r="D169" s="6">
        <v>8456.4</v>
      </c>
      <c r="E169" s="6">
        <v>2151</v>
      </c>
      <c r="F169" s="28">
        <v>10104.599496880001</v>
      </c>
      <c r="G169" s="28">
        <v>2608199.2200000002</v>
      </c>
      <c r="H169" s="6">
        <v>8462</v>
      </c>
      <c r="I169" s="28">
        <v>91255549.319999993</v>
      </c>
      <c r="J169" s="28">
        <v>0</v>
      </c>
      <c r="K169" s="28">
        <v>0</v>
      </c>
      <c r="L169" s="28">
        <v>91255549.319999993</v>
      </c>
      <c r="M169" s="28">
        <v>10791.3</v>
      </c>
      <c r="N169" s="31">
        <v>195</v>
      </c>
      <c r="O169" s="28">
        <v>157631.75</v>
      </c>
    </row>
    <row r="170" spans="1:15" x14ac:dyDescent="0.25">
      <c r="A170" s="26" t="s">
        <v>399</v>
      </c>
      <c r="B170" s="27" t="s">
        <v>215</v>
      </c>
      <c r="C170" s="27" t="s">
        <v>220</v>
      </c>
      <c r="D170" s="6">
        <v>3910.5</v>
      </c>
      <c r="E170" s="6">
        <v>1277</v>
      </c>
      <c r="F170" s="28">
        <v>10148.63487525</v>
      </c>
      <c r="G170" s="28">
        <v>1575712.12</v>
      </c>
      <c r="H170" s="6">
        <v>3897</v>
      </c>
      <c r="I170" s="28">
        <v>42894665.549999997</v>
      </c>
      <c r="J170" s="28">
        <v>0</v>
      </c>
      <c r="K170" s="28">
        <v>0</v>
      </c>
      <c r="L170" s="28">
        <v>42894665.549999997</v>
      </c>
      <c r="M170" s="28">
        <v>10791.3</v>
      </c>
      <c r="N170" s="31">
        <v>93</v>
      </c>
      <c r="O170" s="28">
        <v>75505.84</v>
      </c>
    </row>
    <row r="171" spans="1:15" x14ac:dyDescent="0.25">
      <c r="A171" s="26" t="s">
        <v>400</v>
      </c>
      <c r="B171" s="27" t="s">
        <v>215</v>
      </c>
      <c r="C171" s="27" t="s">
        <v>221</v>
      </c>
      <c r="D171" s="6">
        <v>22377.3</v>
      </c>
      <c r="E171" s="6">
        <v>15657.6</v>
      </c>
      <c r="F171" s="28">
        <v>10202.309603969999</v>
      </c>
      <c r="G171" s="28">
        <v>23824962.449999999</v>
      </c>
      <c r="H171" s="6">
        <v>22503</v>
      </c>
      <c r="I171" s="28">
        <v>254903396.11000001</v>
      </c>
      <c r="J171" s="28">
        <v>0</v>
      </c>
      <c r="K171" s="28">
        <v>0</v>
      </c>
      <c r="L171" s="28">
        <v>254903396.11000001</v>
      </c>
      <c r="M171" s="28">
        <v>10791.3</v>
      </c>
      <c r="N171" s="31">
        <v>3402</v>
      </c>
      <c r="O171" s="28">
        <v>2776660.58</v>
      </c>
    </row>
    <row r="172" spans="1:15" x14ac:dyDescent="0.25">
      <c r="A172" s="26" t="s">
        <v>401</v>
      </c>
      <c r="B172" s="27" t="s">
        <v>215</v>
      </c>
      <c r="C172" s="27" t="s">
        <v>204</v>
      </c>
      <c r="D172" s="6">
        <v>1113.2</v>
      </c>
      <c r="E172" s="6">
        <v>575.29999999999995</v>
      </c>
      <c r="F172" s="28">
        <v>10909.5917305</v>
      </c>
      <c r="G172" s="28">
        <v>762781.41</v>
      </c>
      <c r="H172" s="6">
        <v>1114</v>
      </c>
      <c r="I172" s="28">
        <v>13151936.9</v>
      </c>
      <c r="J172" s="28">
        <v>0</v>
      </c>
      <c r="K172" s="28">
        <v>0</v>
      </c>
      <c r="L172" s="28">
        <v>13151936.9</v>
      </c>
      <c r="M172" s="28">
        <v>10791.3</v>
      </c>
      <c r="N172" s="31">
        <v>55</v>
      </c>
      <c r="O172" s="28">
        <v>48002.2</v>
      </c>
    </row>
    <row r="173" spans="1:15" x14ac:dyDescent="0.25">
      <c r="A173" s="26" t="s">
        <v>402</v>
      </c>
      <c r="B173" s="27" t="s">
        <v>215</v>
      </c>
      <c r="C173" s="27" t="s">
        <v>222</v>
      </c>
      <c r="D173" s="6">
        <v>2307.5</v>
      </c>
      <c r="E173" s="6">
        <v>1323.7</v>
      </c>
      <c r="F173" s="28">
        <v>10538.397468380001</v>
      </c>
      <c r="G173" s="28">
        <v>1759585.68</v>
      </c>
      <c r="H173" s="6">
        <v>2309</v>
      </c>
      <c r="I173" s="28">
        <v>26761209.670000002</v>
      </c>
      <c r="J173" s="28">
        <v>0</v>
      </c>
      <c r="K173" s="28">
        <v>0</v>
      </c>
      <c r="L173" s="28">
        <v>26761209.670000002</v>
      </c>
      <c r="M173" s="28">
        <v>10791.3</v>
      </c>
      <c r="N173" s="31">
        <v>325</v>
      </c>
      <c r="O173" s="28">
        <v>273998.33</v>
      </c>
    </row>
    <row r="174" spans="1:15" x14ac:dyDescent="0.25">
      <c r="A174" s="26" t="s">
        <v>403</v>
      </c>
      <c r="B174" s="27" t="s">
        <v>215</v>
      </c>
      <c r="C174" s="27" t="s">
        <v>223</v>
      </c>
      <c r="D174" s="6">
        <v>985.5</v>
      </c>
      <c r="E174" s="6">
        <v>351.1</v>
      </c>
      <c r="F174" s="28">
        <v>10950.129998439999</v>
      </c>
      <c r="G174" s="28">
        <v>568882.62</v>
      </c>
      <c r="H174" s="6">
        <v>976</v>
      </c>
      <c r="I174" s="28">
        <v>11876720.48</v>
      </c>
      <c r="J174" s="28">
        <v>0</v>
      </c>
      <c r="K174" s="28">
        <v>0</v>
      </c>
      <c r="L174" s="28">
        <v>11876720.48</v>
      </c>
      <c r="M174" s="28">
        <v>10791.3</v>
      </c>
      <c r="N174" s="31">
        <v>60</v>
      </c>
      <c r="O174" s="28">
        <v>52560.62</v>
      </c>
    </row>
    <row r="175" spans="1:15" x14ac:dyDescent="0.25">
      <c r="A175" s="26" t="s">
        <v>404</v>
      </c>
      <c r="B175" s="27" t="s">
        <v>215</v>
      </c>
      <c r="C175" s="27" t="s">
        <v>224</v>
      </c>
      <c r="D175" s="6">
        <v>169.5</v>
      </c>
      <c r="E175" s="6">
        <v>45</v>
      </c>
      <c r="F175" s="28">
        <v>18524.656897929999</v>
      </c>
      <c r="G175" s="28">
        <v>137004.38</v>
      </c>
      <c r="H175" s="6">
        <v>160</v>
      </c>
      <c r="I175" s="28">
        <v>3378415.69</v>
      </c>
      <c r="J175" s="28">
        <v>0</v>
      </c>
      <c r="K175" s="28">
        <v>0</v>
      </c>
      <c r="L175" s="28">
        <v>3378415.69</v>
      </c>
      <c r="M175" s="28">
        <v>10791.3</v>
      </c>
      <c r="N175" s="31">
        <v>1</v>
      </c>
      <c r="O175" s="28">
        <v>1481.97</v>
      </c>
    </row>
    <row r="176" spans="1:15" x14ac:dyDescent="0.25">
      <c r="A176" s="26" t="s">
        <v>405</v>
      </c>
      <c r="B176" s="27" t="s">
        <v>215</v>
      </c>
      <c r="C176" s="27" t="s">
        <v>225</v>
      </c>
      <c r="D176" s="6">
        <v>177.5</v>
      </c>
      <c r="E176" s="6">
        <v>42.3</v>
      </c>
      <c r="F176" s="28">
        <v>18186.801164379998</v>
      </c>
      <c r="G176" s="28">
        <v>97263.9</v>
      </c>
      <c r="H176" s="6">
        <v>151</v>
      </c>
      <c r="I176" s="28">
        <v>3425421.11</v>
      </c>
      <c r="J176" s="28">
        <v>0</v>
      </c>
      <c r="K176" s="28">
        <v>0</v>
      </c>
      <c r="L176" s="28">
        <v>3425421.11</v>
      </c>
      <c r="M176" s="28">
        <v>10791.3</v>
      </c>
      <c r="N176" s="31">
        <v>0</v>
      </c>
      <c r="O176" s="28">
        <v>0</v>
      </c>
    </row>
    <row r="177" spans="1:15" x14ac:dyDescent="0.25">
      <c r="A177" s="26" t="s">
        <v>406</v>
      </c>
      <c r="B177" s="27" t="s">
        <v>215</v>
      </c>
      <c r="C177" s="27" t="s">
        <v>226</v>
      </c>
      <c r="D177" s="6">
        <v>57.1</v>
      </c>
      <c r="E177" s="6">
        <v>31.5</v>
      </c>
      <c r="F177" s="28">
        <v>22478.933004319999</v>
      </c>
      <c r="G177" s="28">
        <v>101248.93</v>
      </c>
      <c r="H177" s="6">
        <v>53</v>
      </c>
      <c r="I177" s="28">
        <v>1484796</v>
      </c>
      <c r="J177" s="28">
        <v>0</v>
      </c>
      <c r="K177" s="28">
        <v>0</v>
      </c>
      <c r="L177" s="28">
        <v>1484796</v>
      </c>
      <c r="M177" s="28">
        <v>10791.3</v>
      </c>
      <c r="N177" s="31">
        <v>0</v>
      </c>
      <c r="O177" s="28">
        <v>0</v>
      </c>
    </row>
    <row r="178" spans="1:15" x14ac:dyDescent="0.25">
      <c r="A178" s="29" t="s">
        <v>407</v>
      </c>
      <c r="B178" s="27" t="s">
        <v>227</v>
      </c>
      <c r="C178" s="27" t="s">
        <v>228</v>
      </c>
      <c r="D178" s="6">
        <v>808.9</v>
      </c>
      <c r="E178" s="6">
        <v>485</v>
      </c>
      <c r="F178" s="28">
        <v>11525.73478957</v>
      </c>
      <c r="G178" s="28">
        <v>876689.47</v>
      </c>
      <c r="H178" s="6">
        <v>760</v>
      </c>
      <c r="I178" s="28">
        <v>10706968.07</v>
      </c>
      <c r="J178" s="28">
        <v>0</v>
      </c>
      <c r="K178" s="28">
        <v>0</v>
      </c>
      <c r="L178" s="28">
        <v>10706968.07</v>
      </c>
      <c r="M178" s="28">
        <v>10791.3</v>
      </c>
      <c r="N178" s="31">
        <v>137</v>
      </c>
      <c r="O178" s="28">
        <v>126322.05</v>
      </c>
    </row>
    <row r="179" spans="1:15" x14ac:dyDescent="0.25">
      <c r="A179" s="29" t="s">
        <v>408</v>
      </c>
      <c r="B179" s="27" t="s">
        <v>227</v>
      </c>
      <c r="C179" s="27" t="s">
        <v>229</v>
      </c>
      <c r="D179" s="6">
        <v>695</v>
      </c>
      <c r="E179" s="6">
        <v>433.3</v>
      </c>
      <c r="F179" s="28">
        <v>11347.05982013</v>
      </c>
      <c r="G179" s="28">
        <v>649468.93999999994</v>
      </c>
      <c r="H179" s="6">
        <v>695</v>
      </c>
      <c r="I179" s="28">
        <v>8940971.0099999998</v>
      </c>
      <c r="J179" s="28">
        <v>0</v>
      </c>
      <c r="K179" s="28">
        <v>0</v>
      </c>
      <c r="L179" s="28">
        <v>8940971.0099999998</v>
      </c>
      <c r="M179" s="28">
        <v>10791.3</v>
      </c>
      <c r="N179" s="31">
        <v>88</v>
      </c>
      <c r="O179" s="28">
        <v>79883.3</v>
      </c>
    </row>
    <row r="180" spans="1:15" x14ac:dyDescent="0.25">
      <c r="A180" s="29" t="s">
        <v>409</v>
      </c>
      <c r="B180" s="27" t="s">
        <v>227</v>
      </c>
      <c r="C180" s="27" t="s">
        <v>230</v>
      </c>
      <c r="D180" s="6">
        <v>159.6</v>
      </c>
      <c r="E180" s="6">
        <v>85.5</v>
      </c>
      <c r="F180" s="28">
        <v>18849.791362299999</v>
      </c>
      <c r="G180" s="28">
        <v>193398.86</v>
      </c>
      <c r="H180" s="6">
        <v>136</v>
      </c>
      <c r="I180" s="28">
        <v>3290841.9</v>
      </c>
      <c r="J180" s="28">
        <v>0</v>
      </c>
      <c r="K180" s="28">
        <v>0</v>
      </c>
      <c r="L180" s="28">
        <v>3290841.9</v>
      </c>
      <c r="M180" s="28">
        <v>10791.3</v>
      </c>
      <c r="N180" s="31">
        <v>5</v>
      </c>
      <c r="O180" s="28">
        <v>7539.92</v>
      </c>
    </row>
    <row r="181" spans="1:15" x14ac:dyDescent="0.25">
      <c r="A181" s="29" t="s">
        <v>410</v>
      </c>
      <c r="B181" s="27" t="s">
        <v>227</v>
      </c>
      <c r="C181" s="27" t="s">
        <v>231</v>
      </c>
      <c r="D181" s="6">
        <v>65</v>
      </c>
      <c r="E181" s="6">
        <v>29.8</v>
      </c>
      <c r="F181" s="28">
        <v>22993.83496724</v>
      </c>
      <c r="G181" s="28">
        <v>82225.95</v>
      </c>
      <c r="H181" s="6">
        <v>65</v>
      </c>
      <c r="I181" s="28">
        <v>1676825.22</v>
      </c>
      <c r="J181" s="28">
        <v>0</v>
      </c>
      <c r="K181" s="28">
        <v>0</v>
      </c>
      <c r="L181" s="28">
        <v>1676825.22</v>
      </c>
      <c r="M181" s="28">
        <v>10791.3</v>
      </c>
      <c r="N181" s="31">
        <v>0</v>
      </c>
      <c r="O181" s="28">
        <v>0</v>
      </c>
    </row>
    <row r="182" spans="1:15" x14ac:dyDescent="0.25">
      <c r="L182" s="28">
        <f t="shared" ref="L182:L183" si="0">I182+J182</f>
        <v>0</v>
      </c>
    </row>
    <row r="183" spans="1:15" x14ac:dyDescent="0.25">
      <c r="D183" s="28">
        <f t="shared" ref="D183:H183" si="1">SUM(D4:D181)</f>
        <v>853384.10000000044</v>
      </c>
      <c r="E183" s="28">
        <f t="shared" si="1"/>
        <v>387772.69999999995</v>
      </c>
      <c r="F183" s="28">
        <f t="shared" si="1"/>
        <v>2449777.1237969748</v>
      </c>
      <c r="G183" s="28">
        <f t="shared" si="1"/>
        <v>557055791.69999969</v>
      </c>
      <c r="H183" s="28">
        <f t="shared" si="1"/>
        <v>833999</v>
      </c>
      <c r="I183" s="28">
        <f>SUM(I4:I181)</f>
        <v>9773152749.0200005</v>
      </c>
      <c r="J183" s="28">
        <f t="shared" ref="J183:K183" si="2">SUM(J4:J181)</f>
        <v>0</v>
      </c>
      <c r="K183" s="28">
        <f t="shared" si="2"/>
        <v>0</v>
      </c>
      <c r="L183" s="28">
        <f t="shared" si="0"/>
        <v>9773152749.0200005</v>
      </c>
      <c r="N183" s="31">
        <f>SUM(N4:N182)</f>
        <v>75065</v>
      </c>
      <c r="O183" s="28">
        <f>SUM(O4:O182)</f>
        <v>64010256.43999999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0"/>
  <sheetViews>
    <sheetView zoomScaleNormal="100" workbookViewId="0">
      <pane xSplit="2" ySplit="1" topLeftCell="N2" activePane="bottomRight" state="frozen"/>
      <selection activeCell="A4" sqref="A4"/>
      <selection pane="topRight" activeCell="A4" sqref="A4"/>
      <selection pane="bottomLeft" activeCell="A4" sqref="A4"/>
      <selection pane="bottomRight" activeCell="S10" sqref="S10"/>
    </sheetView>
  </sheetViews>
  <sheetFormatPr defaultRowHeight="12.5" x14ac:dyDescent="0.25"/>
  <cols>
    <col min="1" max="1" width="15.1796875" style="33" customWidth="1"/>
    <col min="2" max="2" width="15.1796875" style="33" bestFit="1" customWidth="1"/>
    <col min="3" max="3" width="18.54296875" style="34" bestFit="1" customWidth="1"/>
    <col min="4" max="4" width="18.54296875" style="34" customWidth="1"/>
    <col min="5" max="5" width="18.54296875" style="34" bestFit="1" customWidth="1"/>
    <col min="6" max="6" width="20.1796875" style="34" bestFit="1" customWidth="1"/>
    <col min="7" max="7" width="16.453125" style="35" bestFit="1" customWidth="1"/>
    <col min="8" max="8" width="15" style="35" customWidth="1"/>
    <col min="9" max="9" width="15.81640625" style="33" customWidth="1"/>
    <col min="10" max="10" width="17.453125" style="33" customWidth="1"/>
    <col min="11" max="11" width="18.453125" style="33" customWidth="1"/>
    <col min="12" max="12" width="19.54296875" style="33" bestFit="1" customWidth="1"/>
    <col min="13" max="14" width="8.7265625" style="33"/>
    <col min="15" max="15" width="13.1796875" style="33" bestFit="1" customWidth="1"/>
    <col min="16" max="16" width="8.7265625" style="33"/>
    <col min="17" max="17" width="12" style="33" bestFit="1" customWidth="1"/>
    <col min="18" max="18" width="8.1796875" bestFit="1" customWidth="1"/>
    <col min="19" max="19" width="14" bestFit="1" customWidth="1"/>
    <col min="20" max="20" width="51.453125" bestFit="1" customWidth="1"/>
    <col min="21" max="253" width="8.7265625" style="33"/>
    <col min="254" max="254" width="15.1796875" style="33" customWidth="1"/>
    <col min="255" max="255" width="15.1796875" style="33" bestFit="1" customWidth="1"/>
    <col min="256" max="257" width="18.54296875" style="33" bestFit="1" customWidth="1"/>
    <col min="258" max="258" width="16.453125" style="33" bestFit="1" customWidth="1"/>
    <col min="259" max="259" width="13.54296875" style="33" bestFit="1" customWidth="1"/>
    <col min="260" max="260" width="17.54296875" style="33" bestFit="1" customWidth="1"/>
    <col min="261" max="261" width="17.453125" style="33" bestFit="1" customWidth="1"/>
    <col min="262" max="262" width="22.54296875" style="33" bestFit="1" customWidth="1"/>
    <col min="263" max="263" width="15.81640625" style="33" bestFit="1" customWidth="1"/>
    <col min="264" max="264" width="17.453125" style="33" bestFit="1" customWidth="1"/>
    <col min="265" max="265" width="18.453125" style="33" bestFit="1" customWidth="1"/>
    <col min="266" max="266" width="19.54296875" style="33" bestFit="1" customWidth="1"/>
    <col min="267" max="509" width="8.7265625" style="33"/>
    <col min="510" max="510" width="15.1796875" style="33" customWidth="1"/>
    <col min="511" max="511" width="15.1796875" style="33" bestFit="1" customWidth="1"/>
    <col min="512" max="513" width="18.54296875" style="33" bestFit="1" customWidth="1"/>
    <col min="514" max="514" width="16.453125" style="33" bestFit="1" customWidth="1"/>
    <col min="515" max="515" width="13.54296875" style="33" bestFit="1" customWidth="1"/>
    <col min="516" max="516" width="17.54296875" style="33" bestFit="1" customWidth="1"/>
    <col min="517" max="517" width="17.453125" style="33" bestFit="1" customWidth="1"/>
    <col min="518" max="518" width="22.54296875" style="33" bestFit="1" customWidth="1"/>
    <col min="519" max="519" width="15.81640625" style="33" bestFit="1" customWidth="1"/>
    <col min="520" max="520" width="17.453125" style="33" bestFit="1" customWidth="1"/>
    <col min="521" max="521" width="18.453125" style="33" bestFit="1" customWidth="1"/>
    <col min="522" max="522" width="19.54296875" style="33" bestFit="1" customWidth="1"/>
    <col min="523" max="765" width="8.7265625" style="33"/>
    <col min="766" max="766" width="15.1796875" style="33" customWidth="1"/>
    <col min="767" max="767" width="15.1796875" style="33" bestFit="1" customWidth="1"/>
    <col min="768" max="769" width="18.54296875" style="33" bestFit="1" customWidth="1"/>
    <col min="770" max="770" width="16.453125" style="33" bestFit="1" customWidth="1"/>
    <col min="771" max="771" width="13.54296875" style="33" bestFit="1" customWidth="1"/>
    <col min="772" max="772" width="17.54296875" style="33" bestFit="1" customWidth="1"/>
    <col min="773" max="773" width="17.453125" style="33" bestFit="1" customWidth="1"/>
    <col min="774" max="774" width="22.54296875" style="33" bestFit="1" customWidth="1"/>
    <col min="775" max="775" width="15.81640625" style="33" bestFit="1" customWidth="1"/>
    <col min="776" max="776" width="17.453125" style="33" bestFit="1" customWidth="1"/>
    <col min="777" max="777" width="18.453125" style="33" bestFit="1" customWidth="1"/>
    <col min="778" max="778" width="19.54296875" style="33" bestFit="1" customWidth="1"/>
    <col min="779" max="1021" width="8.7265625" style="33"/>
    <col min="1022" max="1022" width="15.1796875" style="33" customWidth="1"/>
    <col min="1023" max="1023" width="15.1796875" style="33" bestFit="1" customWidth="1"/>
    <col min="1024" max="1025" width="18.54296875" style="33" bestFit="1" customWidth="1"/>
    <col min="1026" max="1026" width="16.453125" style="33" bestFit="1" customWidth="1"/>
    <col min="1027" max="1027" width="13.54296875" style="33" bestFit="1" customWidth="1"/>
    <col min="1028" max="1028" width="17.54296875" style="33" bestFit="1" customWidth="1"/>
    <col min="1029" max="1029" width="17.453125" style="33" bestFit="1" customWidth="1"/>
    <col min="1030" max="1030" width="22.54296875" style="33" bestFit="1" customWidth="1"/>
    <col min="1031" max="1031" width="15.81640625" style="33" bestFit="1" customWidth="1"/>
    <col min="1032" max="1032" width="17.453125" style="33" bestFit="1" customWidth="1"/>
    <col min="1033" max="1033" width="18.453125" style="33" bestFit="1" customWidth="1"/>
    <col min="1034" max="1034" width="19.54296875" style="33" bestFit="1" customWidth="1"/>
    <col min="1035" max="1277" width="8.7265625" style="33"/>
    <col min="1278" max="1278" width="15.1796875" style="33" customWidth="1"/>
    <col min="1279" max="1279" width="15.1796875" style="33" bestFit="1" customWidth="1"/>
    <col min="1280" max="1281" width="18.54296875" style="33" bestFit="1" customWidth="1"/>
    <col min="1282" max="1282" width="16.453125" style="33" bestFit="1" customWidth="1"/>
    <col min="1283" max="1283" width="13.54296875" style="33" bestFit="1" customWidth="1"/>
    <col min="1284" max="1284" width="17.54296875" style="33" bestFit="1" customWidth="1"/>
    <col min="1285" max="1285" width="17.453125" style="33" bestFit="1" customWidth="1"/>
    <col min="1286" max="1286" width="22.54296875" style="33" bestFit="1" customWidth="1"/>
    <col min="1287" max="1287" width="15.81640625" style="33" bestFit="1" customWidth="1"/>
    <col min="1288" max="1288" width="17.453125" style="33" bestFit="1" customWidth="1"/>
    <col min="1289" max="1289" width="18.453125" style="33" bestFit="1" customWidth="1"/>
    <col min="1290" max="1290" width="19.54296875" style="33" bestFit="1" customWidth="1"/>
    <col min="1291" max="1533" width="8.7265625" style="33"/>
    <col min="1534" max="1534" width="15.1796875" style="33" customWidth="1"/>
    <col min="1535" max="1535" width="15.1796875" style="33" bestFit="1" customWidth="1"/>
    <col min="1536" max="1537" width="18.54296875" style="33" bestFit="1" customWidth="1"/>
    <col min="1538" max="1538" width="16.453125" style="33" bestFit="1" customWidth="1"/>
    <col min="1539" max="1539" width="13.54296875" style="33" bestFit="1" customWidth="1"/>
    <col min="1540" max="1540" width="17.54296875" style="33" bestFit="1" customWidth="1"/>
    <col min="1541" max="1541" width="17.453125" style="33" bestFit="1" customWidth="1"/>
    <col min="1542" max="1542" width="22.54296875" style="33" bestFit="1" customWidth="1"/>
    <col min="1543" max="1543" width="15.81640625" style="33" bestFit="1" customWidth="1"/>
    <col min="1544" max="1544" width="17.453125" style="33" bestFit="1" customWidth="1"/>
    <col min="1545" max="1545" width="18.453125" style="33" bestFit="1" customWidth="1"/>
    <col min="1546" max="1546" width="19.54296875" style="33" bestFit="1" customWidth="1"/>
    <col min="1547" max="1789" width="8.7265625" style="33"/>
    <col min="1790" max="1790" width="15.1796875" style="33" customWidth="1"/>
    <col min="1791" max="1791" width="15.1796875" style="33" bestFit="1" customWidth="1"/>
    <col min="1792" max="1793" width="18.54296875" style="33" bestFit="1" customWidth="1"/>
    <col min="1794" max="1794" width="16.453125" style="33" bestFit="1" customWidth="1"/>
    <col min="1795" max="1795" width="13.54296875" style="33" bestFit="1" customWidth="1"/>
    <col min="1796" max="1796" width="17.54296875" style="33" bestFit="1" customWidth="1"/>
    <col min="1797" max="1797" width="17.453125" style="33" bestFit="1" customWidth="1"/>
    <col min="1798" max="1798" width="22.54296875" style="33" bestFit="1" customWidth="1"/>
    <col min="1799" max="1799" width="15.81640625" style="33" bestFit="1" customWidth="1"/>
    <col min="1800" max="1800" width="17.453125" style="33" bestFit="1" customWidth="1"/>
    <col min="1801" max="1801" width="18.453125" style="33" bestFit="1" customWidth="1"/>
    <col min="1802" max="1802" width="19.54296875" style="33" bestFit="1" customWidth="1"/>
    <col min="1803" max="2045" width="8.7265625" style="33"/>
    <col min="2046" max="2046" width="15.1796875" style="33" customWidth="1"/>
    <col min="2047" max="2047" width="15.1796875" style="33" bestFit="1" customWidth="1"/>
    <col min="2048" max="2049" width="18.54296875" style="33" bestFit="1" customWidth="1"/>
    <col min="2050" max="2050" width="16.453125" style="33" bestFit="1" customWidth="1"/>
    <col min="2051" max="2051" width="13.54296875" style="33" bestFit="1" customWidth="1"/>
    <col min="2052" max="2052" width="17.54296875" style="33" bestFit="1" customWidth="1"/>
    <col min="2053" max="2053" width="17.453125" style="33" bestFit="1" customWidth="1"/>
    <col min="2054" max="2054" width="22.54296875" style="33" bestFit="1" customWidth="1"/>
    <col min="2055" max="2055" width="15.81640625" style="33" bestFit="1" customWidth="1"/>
    <col min="2056" max="2056" width="17.453125" style="33" bestFit="1" customWidth="1"/>
    <col min="2057" max="2057" width="18.453125" style="33" bestFit="1" customWidth="1"/>
    <col min="2058" max="2058" width="19.54296875" style="33" bestFit="1" customWidth="1"/>
    <col min="2059" max="2301" width="8.7265625" style="33"/>
    <col min="2302" max="2302" width="15.1796875" style="33" customWidth="1"/>
    <col min="2303" max="2303" width="15.1796875" style="33" bestFit="1" customWidth="1"/>
    <col min="2304" max="2305" width="18.54296875" style="33" bestFit="1" customWidth="1"/>
    <col min="2306" max="2306" width="16.453125" style="33" bestFit="1" customWidth="1"/>
    <col min="2307" max="2307" width="13.54296875" style="33" bestFit="1" customWidth="1"/>
    <col min="2308" max="2308" width="17.54296875" style="33" bestFit="1" customWidth="1"/>
    <col min="2309" max="2309" width="17.453125" style="33" bestFit="1" customWidth="1"/>
    <col min="2310" max="2310" width="22.54296875" style="33" bestFit="1" customWidth="1"/>
    <col min="2311" max="2311" width="15.81640625" style="33" bestFit="1" customWidth="1"/>
    <col min="2312" max="2312" width="17.453125" style="33" bestFit="1" customWidth="1"/>
    <col min="2313" max="2313" width="18.453125" style="33" bestFit="1" customWidth="1"/>
    <col min="2314" max="2314" width="19.54296875" style="33" bestFit="1" customWidth="1"/>
    <col min="2315" max="2557" width="8.7265625" style="33"/>
    <col min="2558" max="2558" width="15.1796875" style="33" customWidth="1"/>
    <col min="2559" max="2559" width="15.1796875" style="33" bestFit="1" customWidth="1"/>
    <col min="2560" max="2561" width="18.54296875" style="33" bestFit="1" customWidth="1"/>
    <col min="2562" max="2562" width="16.453125" style="33" bestFit="1" customWidth="1"/>
    <col min="2563" max="2563" width="13.54296875" style="33" bestFit="1" customWidth="1"/>
    <col min="2564" max="2564" width="17.54296875" style="33" bestFit="1" customWidth="1"/>
    <col min="2565" max="2565" width="17.453125" style="33" bestFit="1" customWidth="1"/>
    <col min="2566" max="2566" width="22.54296875" style="33" bestFit="1" customWidth="1"/>
    <col min="2567" max="2567" width="15.81640625" style="33" bestFit="1" customWidth="1"/>
    <col min="2568" max="2568" width="17.453125" style="33" bestFit="1" customWidth="1"/>
    <col min="2569" max="2569" width="18.453125" style="33" bestFit="1" customWidth="1"/>
    <col min="2570" max="2570" width="19.54296875" style="33" bestFit="1" customWidth="1"/>
    <col min="2571" max="2813" width="8.7265625" style="33"/>
    <col min="2814" max="2814" width="15.1796875" style="33" customWidth="1"/>
    <col min="2815" max="2815" width="15.1796875" style="33" bestFit="1" customWidth="1"/>
    <col min="2816" max="2817" width="18.54296875" style="33" bestFit="1" customWidth="1"/>
    <col min="2818" max="2818" width="16.453125" style="33" bestFit="1" customWidth="1"/>
    <col min="2819" max="2819" width="13.54296875" style="33" bestFit="1" customWidth="1"/>
    <col min="2820" max="2820" width="17.54296875" style="33" bestFit="1" customWidth="1"/>
    <col min="2821" max="2821" width="17.453125" style="33" bestFit="1" customWidth="1"/>
    <col min="2822" max="2822" width="22.54296875" style="33" bestFit="1" customWidth="1"/>
    <col min="2823" max="2823" width="15.81640625" style="33" bestFit="1" customWidth="1"/>
    <col min="2824" max="2824" width="17.453125" style="33" bestFit="1" customWidth="1"/>
    <col min="2825" max="2825" width="18.453125" style="33" bestFit="1" customWidth="1"/>
    <col min="2826" max="2826" width="19.54296875" style="33" bestFit="1" customWidth="1"/>
    <col min="2827" max="3069" width="8.7265625" style="33"/>
    <col min="3070" max="3070" width="15.1796875" style="33" customWidth="1"/>
    <col min="3071" max="3071" width="15.1796875" style="33" bestFit="1" customWidth="1"/>
    <col min="3072" max="3073" width="18.54296875" style="33" bestFit="1" customWidth="1"/>
    <col min="3074" max="3074" width="16.453125" style="33" bestFit="1" customWidth="1"/>
    <col min="3075" max="3075" width="13.54296875" style="33" bestFit="1" customWidth="1"/>
    <col min="3076" max="3076" width="17.54296875" style="33" bestFit="1" customWidth="1"/>
    <col min="3077" max="3077" width="17.453125" style="33" bestFit="1" customWidth="1"/>
    <col min="3078" max="3078" width="22.54296875" style="33" bestFit="1" customWidth="1"/>
    <col min="3079" max="3079" width="15.81640625" style="33" bestFit="1" customWidth="1"/>
    <col min="3080" max="3080" width="17.453125" style="33" bestFit="1" customWidth="1"/>
    <col min="3081" max="3081" width="18.453125" style="33" bestFit="1" customWidth="1"/>
    <col min="3082" max="3082" width="19.54296875" style="33" bestFit="1" customWidth="1"/>
    <col min="3083" max="3325" width="8.7265625" style="33"/>
    <col min="3326" max="3326" width="15.1796875" style="33" customWidth="1"/>
    <col min="3327" max="3327" width="15.1796875" style="33" bestFit="1" customWidth="1"/>
    <col min="3328" max="3329" width="18.54296875" style="33" bestFit="1" customWidth="1"/>
    <col min="3330" max="3330" width="16.453125" style="33" bestFit="1" customWidth="1"/>
    <col min="3331" max="3331" width="13.54296875" style="33" bestFit="1" customWidth="1"/>
    <col min="3332" max="3332" width="17.54296875" style="33" bestFit="1" customWidth="1"/>
    <col min="3333" max="3333" width="17.453125" style="33" bestFit="1" customWidth="1"/>
    <col min="3334" max="3334" width="22.54296875" style="33" bestFit="1" customWidth="1"/>
    <col min="3335" max="3335" width="15.81640625" style="33" bestFit="1" customWidth="1"/>
    <col min="3336" max="3336" width="17.453125" style="33" bestFit="1" customWidth="1"/>
    <col min="3337" max="3337" width="18.453125" style="33" bestFit="1" customWidth="1"/>
    <col min="3338" max="3338" width="19.54296875" style="33" bestFit="1" customWidth="1"/>
    <col min="3339" max="3581" width="8.7265625" style="33"/>
    <col min="3582" max="3582" width="15.1796875" style="33" customWidth="1"/>
    <col min="3583" max="3583" width="15.1796875" style="33" bestFit="1" customWidth="1"/>
    <col min="3584" max="3585" width="18.54296875" style="33" bestFit="1" customWidth="1"/>
    <col min="3586" max="3586" width="16.453125" style="33" bestFit="1" customWidth="1"/>
    <col min="3587" max="3587" width="13.54296875" style="33" bestFit="1" customWidth="1"/>
    <col min="3588" max="3588" width="17.54296875" style="33" bestFit="1" customWidth="1"/>
    <col min="3589" max="3589" width="17.453125" style="33" bestFit="1" customWidth="1"/>
    <col min="3590" max="3590" width="22.54296875" style="33" bestFit="1" customWidth="1"/>
    <col min="3591" max="3591" width="15.81640625" style="33" bestFit="1" customWidth="1"/>
    <col min="3592" max="3592" width="17.453125" style="33" bestFit="1" customWidth="1"/>
    <col min="3593" max="3593" width="18.453125" style="33" bestFit="1" customWidth="1"/>
    <col min="3594" max="3594" width="19.54296875" style="33" bestFit="1" customWidth="1"/>
    <col min="3595" max="3837" width="8.7265625" style="33"/>
    <col min="3838" max="3838" width="15.1796875" style="33" customWidth="1"/>
    <col min="3839" max="3839" width="15.1796875" style="33" bestFit="1" customWidth="1"/>
    <col min="3840" max="3841" width="18.54296875" style="33" bestFit="1" customWidth="1"/>
    <col min="3842" max="3842" width="16.453125" style="33" bestFit="1" customWidth="1"/>
    <col min="3843" max="3843" width="13.54296875" style="33" bestFit="1" customWidth="1"/>
    <col min="3844" max="3844" width="17.54296875" style="33" bestFit="1" customWidth="1"/>
    <col min="3845" max="3845" width="17.453125" style="33" bestFit="1" customWidth="1"/>
    <col min="3846" max="3846" width="22.54296875" style="33" bestFit="1" customWidth="1"/>
    <col min="3847" max="3847" width="15.81640625" style="33" bestFit="1" customWidth="1"/>
    <col min="3848" max="3848" width="17.453125" style="33" bestFit="1" customWidth="1"/>
    <col min="3849" max="3849" width="18.453125" style="33" bestFit="1" customWidth="1"/>
    <col min="3850" max="3850" width="19.54296875" style="33" bestFit="1" customWidth="1"/>
    <col min="3851" max="4093" width="8.7265625" style="33"/>
    <col min="4094" max="4094" width="15.1796875" style="33" customWidth="1"/>
    <col min="4095" max="4095" width="15.1796875" style="33" bestFit="1" customWidth="1"/>
    <col min="4096" max="4097" width="18.54296875" style="33" bestFit="1" customWidth="1"/>
    <col min="4098" max="4098" width="16.453125" style="33" bestFit="1" customWidth="1"/>
    <col min="4099" max="4099" width="13.54296875" style="33" bestFit="1" customWidth="1"/>
    <col min="4100" max="4100" width="17.54296875" style="33" bestFit="1" customWidth="1"/>
    <col min="4101" max="4101" width="17.453125" style="33" bestFit="1" customWidth="1"/>
    <col min="4102" max="4102" width="22.54296875" style="33" bestFit="1" customWidth="1"/>
    <col min="4103" max="4103" width="15.81640625" style="33" bestFit="1" customWidth="1"/>
    <col min="4104" max="4104" width="17.453125" style="33" bestFit="1" customWidth="1"/>
    <col min="4105" max="4105" width="18.453125" style="33" bestFit="1" customWidth="1"/>
    <col min="4106" max="4106" width="19.54296875" style="33" bestFit="1" customWidth="1"/>
    <col min="4107" max="4349" width="8.7265625" style="33"/>
    <col min="4350" max="4350" width="15.1796875" style="33" customWidth="1"/>
    <col min="4351" max="4351" width="15.1796875" style="33" bestFit="1" customWidth="1"/>
    <col min="4352" max="4353" width="18.54296875" style="33" bestFit="1" customWidth="1"/>
    <col min="4354" max="4354" width="16.453125" style="33" bestFit="1" customWidth="1"/>
    <col min="4355" max="4355" width="13.54296875" style="33" bestFit="1" customWidth="1"/>
    <col min="4356" max="4356" width="17.54296875" style="33" bestFit="1" customWidth="1"/>
    <col min="4357" max="4357" width="17.453125" style="33" bestFit="1" customWidth="1"/>
    <col min="4358" max="4358" width="22.54296875" style="33" bestFit="1" customWidth="1"/>
    <col min="4359" max="4359" width="15.81640625" style="33" bestFit="1" customWidth="1"/>
    <col min="4360" max="4360" width="17.453125" style="33" bestFit="1" customWidth="1"/>
    <col min="4361" max="4361" width="18.453125" style="33" bestFit="1" customWidth="1"/>
    <col min="4362" max="4362" width="19.54296875" style="33" bestFit="1" customWidth="1"/>
    <col min="4363" max="4605" width="8.7265625" style="33"/>
    <col min="4606" max="4606" width="15.1796875" style="33" customWidth="1"/>
    <col min="4607" max="4607" width="15.1796875" style="33" bestFit="1" customWidth="1"/>
    <col min="4608" max="4609" width="18.54296875" style="33" bestFit="1" customWidth="1"/>
    <col min="4610" max="4610" width="16.453125" style="33" bestFit="1" customWidth="1"/>
    <col min="4611" max="4611" width="13.54296875" style="33" bestFit="1" customWidth="1"/>
    <col min="4612" max="4612" width="17.54296875" style="33" bestFit="1" customWidth="1"/>
    <col min="4613" max="4613" width="17.453125" style="33" bestFit="1" customWidth="1"/>
    <col min="4614" max="4614" width="22.54296875" style="33" bestFit="1" customWidth="1"/>
    <col min="4615" max="4615" width="15.81640625" style="33" bestFit="1" customWidth="1"/>
    <col min="4616" max="4616" width="17.453125" style="33" bestFit="1" customWidth="1"/>
    <col min="4617" max="4617" width="18.453125" style="33" bestFit="1" customWidth="1"/>
    <col min="4618" max="4618" width="19.54296875" style="33" bestFit="1" customWidth="1"/>
    <col min="4619" max="4861" width="8.7265625" style="33"/>
    <col min="4862" max="4862" width="15.1796875" style="33" customWidth="1"/>
    <col min="4863" max="4863" width="15.1796875" style="33" bestFit="1" customWidth="1"/>
    <col min="4864" max="4865" width="18.54296875" style="33" bestFit="1" customWidth="1"/>
    <col min="4866" max="4866" width="16.453125" style="33" bestFit="1" customWidth="1"/>
    <col min="4867" max="4867" width="13.54296875" style="33" bestFit="1" customWidth="1"/>
    <col min="4868" max="4868" width="17.54296875" style="33" bestFit="1" customWidth="1"/>
    <col min="4869" max="4869" width="17.453125" style="33" bestFit="1" customWidth="1"/>
    <col min="4870" max="4870" width="22.54296875" style="33" bestFit="1" customWidth="1"/>
    <col min="4871" max="4871" width="15.81640625" style="33" bestFit="1" customWidth="1"/>
    <col min="4872" max="4872" width="17.453125" style="33" bestFit="1" customWidth="1"/>
    <col min="4873" max="4873" width="18.453125" style="33" bestFit="1" customWidth="1"/>
    <col min="4874" max="4874" width="19.54296875" style="33" bestFit="1" customWidth="1"/>
    <col min="4875" max="5117" width="8.7265625" style="33"/>
    <col min="5118" max="5118" width="15.1796875" style="33" customWidth="1"/>
    <col min="5119" max="5119" width="15.1796875" style="33" bestFit="1" customWidth="1"/>
    <col min="5120" max="5121" width="18.54296875" style="33" bestFit="1" customWidth="1"/>
    <col min="5122" max="5122" width="16.453125" style="33" bestFit="1" customWidth="1"/>
    <col min="5123" max="5123" width="13.54296875" style="33" bestFit="1" customWidth="1"/>
    <col min="5124" max="5124" width="17.54296875" style="33" bestFit="1" customWidth="1"/>
    <col min="5125" max="5125" width="17.453125" style="33" bestFit="1" customWidth="1"/>
    <col min="5126" max="5126" width="22.54296875" style="33" bestFit="1" customWidth="1"/>
    <col min="5127" max="5127" width="15.81640625" style="33" bestFit="1" customWidth="1"/>
    <col min="5128" max="5128" width="17.453125" style="33" bestFit="1" customWidth="1"/>
    <col min="5129" max="5129" width="18.453125" style="33" bestFit="1" customWidth="1"/>
    <col min="5130" max="5130" width="19.54296875" style="33" bestFit="1" customWidth="1"/>
    <col min="5131" max="5373" width="8.7265625" style="33"/>
    <col min="5374" max="5374" width="15.1796875" style="33" customWidth="1"/>
    <col min="5375" max="5375" width="15.1796875" style="33" bestFit="1" customWidth="1"/>
    <col min="5376" max="5377" width="18.54296875" style="33" bestFit="1" customWidth="1"/>
    <col min="5378" max="5378" width="16.453125" style="33" bestFit="1" customWidth="1"/>
    <col min="5379" max="5379" width="13.54296875" style="33" bestFit="1" customWidth="1"/>
    <col min="5380" max="5380" width="17.54296875" style="33" bestFit="1" customWidth="1"/>
    <col min="5381" max="5381" width="17.453125" style="33" bestFit="1" customWidth="1"/>
    <col min="5382" max="5382" width="22.54296875" style="33" bestFit="1" customWidth="1"/>
    <col min="5383" max="5383" width="15.81640625" style="33" bestFit="1" customWidth="1"/>
    <col min="5384" max="5384" width="17.453125" style="33" bestFit="1" customWidth="1"/>
    <col min="5385" max="5385" width="18.453125" style="33" bestFit="1" customWidth="1"/>
    <col min="5386" max="5386" width="19.54296875" style="33" bestFit="1" customWidth="1"/>
    <col min="5387" max="5629" width="8.7265625" style="33"/>
    <col min="5630" max="5630" width="15.1796875" style="33" customWidth="1"/>
    <col min="5631" max="5631" width="15.1796875" style="33" bestFit="1" customWidth="1"/>
    <col min="5632" max="5633" width="18.54296875" style="33" bestFit="1" customWidth="1"/>
    <col min="5634" max="5634" width="16.453125" style="33" bestFit="1" customWidth="1"/>
    <col min="5635" max="5635" width="13.54296875" style="33" bestFit="1" customWidth="1"/>
    <col min="5636" max="5636" width="17.54296875" style="33" bestFit="1" customWidth="1"/>
    <col min="5637" max="5637" width="17.453125" style="33" bestFit="1" customWidth="1"/>
    <col min="5638" max="5638" width="22.54296875" style="33" bestFit="1" customWidth="1"/>
    <col min="5639" max="5639" width="15.81640625" style="33" bestFit="1" customWidth="1"/>
    <col min="5640" max="5640" width="17.453125" style="33" bestFit="1" customWidth="1"/>
    <col min="5641" max="5641" width="18.453125" style="33" bestFit="1" customWidth="1"/>
    <col min="5642" max="5642" width="19.54296875" style="33" bestFit="1" customWidth="1"/>
    <col min="5643" max="5885" width="8.7265625" style="33"/>
    <col min="5886" max="5886" width="15.1796875" style="33" customWidth="1"/>
    <col min="5887" max="5887" width="15.1796875" style="33" bestFit="1" customWidth="1"/>
    <col min="5888" max="5889" width="18.54296875" style="33" bestFit="1" customWidth="1"/>
    <col min="5890" max="5890" width="16.453125" style="33" bestFit="1" customWidth="1"/>
    <col min="5891" max="5891" width="13.54296875" style="33" bestFit="1" customWidth="1"/>
    <col min="5892" max="5892" width="17.54296875" style="33" bestFit="1" customWidth="1"/>
    <col min="5893" max="5893" width="17.453125" style="33" bestFit="1" customWidth="1"/>
    <col min="5894" max="5894" width="22.54296875" style="33" bestFit="1" customWidth="1"/>
    <col min="5895" max="5895" width="15.81640625" style="33" bestFit="1" customWidth="1"/>
    <col min="5896" max="5896" width="17.453125" style="33" bestFit="1" customWidth="1"/>
    <col min="5897" max="5897" width="18.453125" style="33" bestFit="1" customWidth="1"/>
    <col min="5898" max="5898" width="19.54296875" style="33" bestFit="1" customWidth="1"/>
    <col min="5899" max="6141" width="8.7265625" style="33"/>
    <col min="6142" max="6142" width="15.1796875" style="33" customWidth="1"/>
    <col min="6143" max="6143" width="15.1796875" style="33" bestFit="1" customWidth="1"/>
    <col min="6144" max="6145" width="18.54296875" style="33" bestFit="1" customWidth="1"/>
    <col min="6146" max="6146" width="16.453125" style="33" bestFit="1" customWidth="1"/>
    <col min="6147" max="6147" width="13.54296875" style="33" bestFit="1" customWidth="1"/>
    <col min="6148" max="6148" width="17.54296875" style="33" bestFit="1" customWidth="1"/>
    <col min="6149" max="6149" width="17.453125" style="33" bestFit="1" customWidth="1"/>
    <col min="6150" max="6150" width="22.54296875" style="33" bestFit="1" customWidth="1"/>
    <col min="6151" max="6151" width="15.81640625" style="33" bestFit="1" customWidth="1"/>
    <col min="6152" max="6152" width="17.453125" style="33" bestFit="1" customWidth="1"/>
    <col min="6153" max="6153" width="18.453125" style="33" bestFit="1" customWidth="1"/>
    <col min="6154" max="6154" width="19.54296875" style="33" bestFit="1" customWidth="1"/>
    <col min="6155" max="6397" width="8.7265625" style="33"/>
    <col min="6398" max="6398" width="15.1796875" style="33" customWidth="1"/>
    <col min="6399" max="6399" width="15.1796875" style="33" bestFit="1" customWidth="1"/>
    <col min="6400" max="6401" width="18.54296875" style="33" bestFit="1" customWidth="1"/>
    <col min="6402" max="6402" width="16.453125" style="33" bestFit="1" customWidth="1"/>
    <col min="6403" max="6403" width="13.54296875" style="33" bestFit="1" customWidth="1"/>
    <col min="6404" max="6404" width="17.54296875" style="33" bestFit="1" customWidth="1"/>
    <col min="6405" max="6405" width="17.453125" style="33" bestFit="1" customWidth="1"/>
    <col min="6406" max="6406" width="22.54296875" style="33" bestFit="1" customWidth="1"/>
    <col min="6407" max="6407" width="15.81640625" style="33" bestFit="1" customWidth="1"/>
    <col min="6408" max="6408" width="17.453125" style="33" bestFit="1" customWidth="1"/>
    <col min="6409" max="6409" width="18.453125" style="33" bestFit="1" customWidth="1"/>
    <col min="6410" max="6410" width="19.54296875" style="33" bestFit="1" customWidth="1"/>
    <col min="6411" max="6653" width="8.7265625" style="33"/>
    <col min="6654" max="6654" width="15.1796875" style="33" customWidth="1"/>
    <col min="6655" max="6655" width="15.1796875" style="33" bestFit="1" customWidth="1"/>
    <col min="6656" max="6657" width="18.54296875" style="33" bestFit="1" customWidth="1"/>
    <col min="6658" max="6658" width="16.453125" style="33" bestFit="1" customWidth="1"/>
    <col min="6659" max="6659" width="13.54296875" style="33" bestFit="1" customWidth="1"/>
    <col min="6660" max="6660" width="17.54296875" style="33" bestFit="1" customWidth="1"/>
    <col min="6661" max="6661" width="17.453125" style="33" bestFit="1" customWidth="1"/>
    <col min="6662" max="6662" width="22.54296875" style="33" bestFit="1" customWidth="1"/>
    <col min="6663" max="6663" width="15.81640625" style="33" bestFit="1" customWidth="1"/>
    <col min="6664" max="6664" width="17.453125" style="33" bestFit="1" customWidth="1"/>
    <col min="6665" max="6665" width="18.453125" style="33" bestFit="1" customWidth="1"/>
    <col min="6666" max="6666" width="19.54296875" style="33" bestFit="1" customWidth="1"/>
    <col min="6667" max="6909" width="8.7265625" style="33"/>
    <col min="6910" max="6910" width="15.1796875" style="33" customWidth="1"/>
    <col min="6911" max="6911" width="15.1796875" style="33" bestFit="1" customWidth="1"/>
    <col min="6912" max="6913" width="18.54296875" style="33" bestFit="1" customWidth="1"/>
    <col min="6914" max="6914" width="16.453125" style="33" bestFit="1" customWidth="1"/>
    <col min="6915" max="6915" width="13.54296875" style="33" bestFit="1" customWidth="1"/>
    <col min="6916" max="6916" width="17.54296875" style="33" bestFit="1" customWidth="1"/>
    <col min="6917" max="6917" width="17.453125" style="33" bestFit="1" customWidth="1"/>
    <col min="6918" max="6918" width="22.54296875" style="33" bestFit="1" customWidth="1"/>
    <col min="6919" max="6919" width="15.81640625" style="33" bestFit="1" customWidth="1"/>
    <col min="6920" max="6920" width="17.453125" style="33" bestFit="1" customWidth="1"/>
    <col min="6921" max="6921" width="18.453125" style="33" bestFit="1" customWidth="1"/>
    <col min="6922" max="6922" width="19.54296875" style="33" bestFit="1" customWidth="1"/>
    <col min="6923" max="7165" width="8.7265625" style="33"/>
    <col min="7166" max="7166" width="15.1796875" style="33" customWidth="1"/>
    <col min="7167" max="7167" width="15.1796875" style="33" bestFit="1" customWidth="1"/>
    <col min="7168" max="7169" width="18.54296875" style="33" bestFit="1" customWidth="1"/>
    <col min="7170" max="7170" width="16.453125" style="33" bestFit="1" customWidth="1"/>
    <col min="7171" max="7171" width="13.54296875" style="33" bestFit="1" customWidth="1"/>
    <col min="7172" max="7172" width="17.54296875" style="33" bestFit="1" customWidth="1"/>
    <col min="7173" max="7173" width="17.453125" style="33" bestFit="1" customWidth="1"/>
    <col min="7174" max="7174" width="22.54296875" style="33" bestFit="1" customWidth="1"/>
    <col min="7175" max="7175" width="15.81640625" style="33" bestFit="1" customWidth="1"/>
    <col min="7176" max="7176" width="17.453125" style="33" bestFit="1" customWidth="1"/>
    <col min="7177" max="7177" width="18.453125" style="33" bestFit="1" customWidth="1"/>
    <col min="7178" max="7178" width="19.54296875" style="33" bestFit="1" customWidth="1"/>
    <col min="7179" max="7421" width="8.7265625" style="33"/>
    <col min="7422" max="7422" width="15.1796875" style="33" customWidth="1"/>
    <col min="7423" max="7423" width="15.1796875" style="33" bestFit="1" customWidth="1"/>
    <col min="7424" max="7425" width="18.54296875" style="33" bestFit="1" customWidth="1"/>
    <col min="7426" max="7426" width="16.453125" style="33" bestFit="1" customWidth="1"/>
    <col min="7427" max="7427" width="13.54296875" style="33" bestFit="1" customWidth="1"/>
    <col min="7428" max="7428" width="17.54296875" style="33" bestFit="1" customWidth="1"/>
    <col min="7429" max="7429" width="17.453125" style="33" bestFit="1" customWidth="1"/>
    <col min="7430" max="7430" width="22.54296875" style="33" bestFit="1" customWidth="1"/>
    <col min="7431" max="7431" width="15.81640625" style="33" bestFit="1" customWidth="1"/>
    <col min="7432" max="7432" width="17.453125" style="33" bestFit="1" customWidth="1"/>
    <col min="7433" max="7433" width="18.453125" style="33" bestFit="1" customWidth="1"/>
    <col min="7434" max="7434" width="19.54296875" style="33" bestFit="1" customWidth="1"/>
    <col min="7435" max="7677" width="8.7265625" style="33"/>
    <col min="7678" max="7678" width="15.1796875" style="33" customWidth="1"/>
    <col min="7679" max="7679" width="15.1796875" style="33" bestFit="1" customWidth="1"/>
    <col min="7680" max="7681" width="18.54296875" style="33" bestFit="1" customWidth="1"/>
    <col min="7682" max="7682" width="16.453125" style="33" bestFit="1" customWidth="1"/>
    <col min="7683" max="7683" width="13.54296875" style="33" bestFit="1" customWidth="1"/>
    <col min="7684" max="7684" width="17.54296875" style="33" bestFit="1" customWidth="1"/>
    <col min="7685" max="7685" width="17.453125" style="33" bestFit="1" customWidth="1"/>
    <col min="7686" max="7686" width="22.54296875" style="33" bestFit="1" customWidth="1"/>
    <col min="7687" max="7687" width="15.81640625" style="33" bestFit="1" customWidth="1"/>
    <col min="7688" max="7688" width="17.453125" style="33" bestFit="1" customWidth="1"/>
    <col min="7689" max="7689" width="18.453125" style="33" bestFit="1" customWidth="1"/>
    <col min="7690" max="7690" width="19.54296875" style="33" bestFit="1" customWidth="1"/>
    <col min="7691" max="7933" width="8.7265625" style="33"/>
    <col min="7934" max="7934" width="15.1796875" style="33" customWidth="1"/>
    <col min="7935" max="7935" width="15.1796875" style="33" bestFit="1" customWidth="1"/>
    <col min="7936" max="7937" width="18.54296875" style="33" bestFit="1" customWidth="1"/>
    <col min="7938" max="7938" width="16.453125" style="33" bestFit="1" customWidth="1"/>
    <col min="7939" max="7939" width="13.54296875" style="33" bestFit="1" customWidth="1"/>
    <col min="7940" max="7940" width="17.54296875" style="33" bestFit="1" customWidth="1"/>
    <col min="7941" max="7941" width="17.453125" style="33" bestFit="1" customWidth="1"/>
    <col min="7942" max="7942" width="22.54296875" style="33" bestFit="1" customWidth="1"/>
    <col min="7943" max="7943" width="15.81640625" style="33" bestFit="1" customWidth="1"/>
    <col min="7944" max="7944" width="17.453125" style="33" bestFit="1" customWidth="1"/>
    <col min="7945" max="7945" width="18.453125" style="33" bestFit="1" customWidth="1"/>
    <col min="7946" max="7946" width="19.54296875" style="33" bestFit="1" customWidth="1"/>
    <col min="7947" max="8189" width="8.7265625" style="33"/>
    <col min="8190" max="8190" width="15.1796875" style="33" customWidth="1"/>
    <col min="8191" max="8191" width="15.1796875" style="33" bestFit="1" customWidth="1"/>
    <col min="8192" max="8193" width="18.54296875" style="33" bestFit="1" customWidth="1"/>
    <col min="8194" max="8194" width="16.453125" style="33" bestFit="1" customWidth="1"/>
    <col min="8195" max="8195" width="13.54296875" style="33" bestFit="1" customWidth="1"/>
    <col min="8196" max="8196" width="17.54296875" style="33" bestFit="1" customWidth="1"/>
    <col min="8197" max="8197" width="17.453125" style="33" bestFit="1" customWidth="1"/>
    <col min="8198" max="8198" width="22.54296875" style="33" bestFit="1" customWidth="1"/>
    <col min="8199" max="8199" width="15.81640625" style="33" bestFit="1" customWidth="1"/>
    <col min="8200" max="8200" width="17.453125" style="33" bestFit="1" customWidth="1"/>
    <col min="8201" max="8201" width="18.453125" style="33" bestFit="1" customWidth="1"/>
    <col min="8202" max="8202" width="19.54296875" style="33" bestFit="1" customWidth="1"/>
    <col min="8203" max="8445" width="8.7265625" style="33"/>
    <col min="8446" max="8446" width="15.1796875" style="33" customWidth="1"/>
    <col min="8447" max="8447" width="15.1796875" style="33" bestFit="1" customWidth="1"/>
    <col min="8448" max="8449" width="18.54296875" style="33" bestFit="1" customWidth="1"/>
    <col min="8450" max="8450" width="16.453125" style="33" bestFit="1" customWidth="1"/>
    <col min="8451" max="8451" width="13.54296875" style="33" bestFit="1" customWidth="1"/>
    <col min="8452" max="8452" width="17.54296875" style="33" bestFit="1" customWidth="1"/>
    <col min="8453" max="8453" width="17.453125" style="33" bestFit="1" customWidth="1"/>
    <col min="8454" max="8454" width="22.54296875" style="33" bestFit="1" customWidth="1"/>
    <col min="8455" max="8455" width="15.81640625" style="33" bestFit="1" customWidth="1"/>
    <col min="8456" max="8456" width="17.453125" style="33" bestFit="1" customWidth="1"/>
    <col min="8457" max="8457" width="18.453125" style="33" bestFit="1" customWidth="1"/>
    <col min="8458" max="8458" width="19.54296875" style="33" bestFit="1" customWidth="1"/>
    <col min="8459" max="8701" width="8.7265625" style="33"/>
    <col min="8702" max="8702" width="15.1796875" style="33" customWidth="1"/>
    <col min="8703" max="8703" width="15.1796875" style="33" bestFit="1" customWidth="1"/>
    <col min="8704" max="8705" width="18.54296875" style="33" bestFit="1" customWidth="1"/>
    <col min="8706" max="8706" width="16.453125" style="33" bestFit="1" customWidth="1"/>
    <col min="8707" max="8707" width="13.54296875" style="33" bestFit="1" customWidth="1"/>
    <col min="8708" max="8708" width="17.54296875" style="33" bestFit="1" customWidth="1"/>
    <col min="8709" max="8709" width="17.453125" style="33" bestFit="1" customWidth="1"/>
    <col min="8710" max="8710" width="22.54296875" style="33" bestFit="1" customWidth="1"/>
    <col min="8711" max="8711" width="15.81640625" style="33" bestFit="1" customWidth="1"/>
    <col min="8712" max="8712" width="17.453125" style="33" bestFit="1" customWidth="1"/>
    <col min="8713" max="8713" width="18.453125" style="33" bestFit="1" customWidth="1"/>
    <col min="8714" max="8714" width="19.54296875" style="33" bestFit="1" customWidth="1"/>
    <col min="8715" max="8957" width="8.7265625" style="33"/>
    <col min="8958" max="8958" width="15.1796875" style="33" customWidth="1"/>
    <col min="8959" max="8959" width="15.1796875" style="33" bestFit="1" customWidth="1"/>
    <col min="8960" max="8961" width="18.54296875" style="33" bestFit="1" customWidth="1"/>
    <col min="8962" max="8962" width="16.453125" style="33" bestFit="1" customWidth="1"/>
    <col min="8963" max="8963" width="13.54296875" style="33" bestFit="1" customWidth="1"/>
    <col min="8964" max="8964" width="17.54296875" style="33" bestFit="1" customWidth="1"/>
    <col min="8965" max="8965" width="17.453125" style="33" bestFit="1" customWidth="1"/>
    <col min="8966" max="8966" width="22.54296875" style="33" bestFit="1" customWidth="1"/>
    <col min="8967" max="8967" width="15.81640625" style="33" bestFit="1" customWidth="1"/>
    <col min="8968" max="8968" width="17.453125" style="33" bestFit="1" customWidth="1"/>
    <col min="8969" max="8969" width="18.453125" style="33" bestFit="1" customWidth="1"/>
    <col min="8970" max="8970" width="19.54296875" style="33" bestFit="1" customWidth="1"/>
    <col min="8971" max="9213" width="8.7265625" style="33"/>
    <col min="9214" max="9214" width="15.1796875" style="33" customWidth="1"/>
    <col min="9215" max="9215" width="15.1796875" style="33" bestFit="1" customWidth="1"/>
    <col min="9216" max="9217" width="18.54296875" style="33" bestFit="1" customWidth="1"/>
    <col min="9218" max="9218" width="16.453125" style="33" bestFit="1" customWidth="1"/>
    <col min="9219" max="9219" width="13.54296875" style="33" bestFit="1" customWidth="1"/>
    <col min="9220" max="9220" width="17.54296875" style="33" bestFit="1" customWidth="1"/>
    <col min="9221" max="9221" width="17.453125" style="33" bestFit="1" customWidth="1"/>
    <col min="9222" max="9222" width="22.54296875" style="33" bestFit="1" customWidth="1"/>
    <col min="9223" max="9223" width="15.81640625" style="33" bestFit="1" customWidth="1"/>
    <col min="9224" max="9224" width="17.453125" style="33" bestFit="1" customWidth="1"/>
    <col min="9225" max="9225" width="18.453125" style="33" bestFit="1" customWidth="1"/>
    <col min="9226" max="9226" width="19.54296875" style="33" bestFit="1" customWidth="1"/>
    <col min="9227" max="9469" width="8.7265625" style="33"/>
    <col min="9470" max="9470" width="15.1796875" style="33" customWidth="1"/>
    <col min="9471" max="9471" width="15.1796875" style="33" bestFit="1" customWidth="1"/>
    <col min="9472" max="9473" width="18.54296875" style="33" bestFit="1" customWidth="1"/>
    <col min="9474" max="9474" width="16.453125" style="33" bestFit="1" customWidth="1"/>
    <col min="9475" max="9475" width="13.54296875" style="33" bestFit="1" customWidth="1"/>
    <col min="9476" max="9476" width="17.54296875" style="33" bestFit="1" customWidth="1"/>
    <col min="9477" max="9477" width="17.453125" style="33" bestFit="1" customWidth="1"/>
    <col min="9478" max="9478" width="22.54296875" style="33" bestFit="1" customWidth="1"/>
    <col min="9479" max="9479" width="15.81640625" style="33" bestFit="1" customWidth="1"/>
    <col min="9480" max="9480" width="17.453125" style="33" bestFit="1" customWidth="1"/>
    <col min="9481" max="9481" width="18.453125" style="33" bestFit="1" customWidth="1"/>
    <col min="9482" max="9482" width="19.54296875" style="33" bestFit="1" customWidth="1"/>
    <col min="9483" max="9725" width="8.7265625" style="33"/>
    <col min="9726" max="9726" width="15.1796875" style="33" customWidth="1"/>
    <col min="9727" max="9727" width="15.1796875" style="33" bestFit="1" customWidth="1"/>
    <col min="9728" max="9729" width="18.54296875" style="33" bestFit="1" customWidth="1"/>
    <col min="9730" max="9730" width="16.453125" style="33" bestFit="1" customWidth="1"/>
    <col min="9731" max="9731" width="13.54296875" style="33" bestFit="1" customWidth="1"/>
    <col min="9732" max="9732" width="17.54296875" style="33" bestFit="1" customWidth="1"/>
    <col min="9733" max="9733" width="17.453125" style="33" bestFit="1" customWidth="1"/>
    <col min="9734" max="9734" width="22.54296875" style="33" bestFit="1" customWidth="1"/>
    <col min="9735" max="9735" width="15.81640625" style="33" bestFit="1" customWidth="1"/>
    <col min="9736" max="9736" width="17.453125" style="33" bestFit="1" customWidth="1"/>
    <col min="9737" max="9737" width="18.453125" style="33" bestFit="1" customWidth="1"/>
    <col min="9738" max="9738" width="19.54296875" style="33" bestFit="1" customWidth="1"/>
    <col min="9739" max="9981" width="8.7265625" style="33"/>
    <col min="9982" max="9982" width="15.1796875" style="33" customWidth="1"/>
    <col min="9983" max="9983" width="15.1796875" style="33" bestFit="1" customWidth="1"/>
    <col min="9984" max="9985" width="18.54296875" style="33" bestFit="1" customWidth="1"/>
    <col min="9986" max="9986" width="16.453125" style="33" bestFit="1" customWidth="1"/>
    <col min="9987" max="9987" width="13.54296875" style="33" bestFit="1" customWidth="1"/>
    <col min="9988" max="9988" width="17.54296875" style="33" bestFit="1" customWidth="1"/>
    <col min="9989" max="9989" width="17.453125" style="33" bestFit="1" customWidth="1"/>
    <col min="9990" max="9990" width="22.54296875" style="33" bestFit="1" customWidth="1"/>
    <col min="9991" max="9991" width="15.81640625" style="33" bestFit="1" customWidth="1"/>
    <col min="9992" max="9992" width="17.453125" style="33" bestFit="1" customWidth="1"/>
    <col min="9993" max="9993" width="18.453125" style="33" bestFit="1" customWidth="1"/>
    <col min="9994" max="9994" width="19.54296875" style="33" bestFit="1" customWidth="1"/>
    <col min="9995" max="10237" width="8.7265625" style="33"/>
    <col min="10238" max="10238" width="15.1796875" style="33" customWidth="1"/>
    <col min="10239" max="10239" width="15.1796875" style="33" bestFit="1" customWidth="1"/>
    <col min="10240" max="10241" width="18.54296875" style="33" bestFit="1" customWidth="1"/>
    <col min="10242" max="10242" width="16.453125" style="33" bestFit="1" customWidth="1"/>
    <col min="10243" max="10243" width="13.54296875" style="33" bestFit="1" customWidth="1"/>
    <col min="10244" max="10244" width="17.54296875" style="33" bestFit="1" customWidth="1"/>
    <col min="10245" max="10245" width="17.453125" style="33" bestFit="1" customWidth="1"/>
    <col min="10246" max="10246" width="22.54296875" style="33" bestFit="1" customWidth="1"/>
    <col min="10247" max="10247" width="15.81640625" style="33" bestFit="1" customWidth="1"/>
    <col min="10248" max="10248" width="17.453125" style="33" bestFit="1" customWidth="1"/>
    <col min="10249" max="10249" width="18.453125" style="33" bestFit="1" customWidth="1"/>
    <col min="10250" max="10250" width="19.54296875" style="33" bestFit="1" customWidth="1"/>
    <col min="10251" max="10493" width="8.7265625" style="33"/>
    <col min="10494" max="10494" width="15.1796875" style="33" customWidth="1"/>
    <col min="10495" max="10495" width="15.1796875" style="33" bestFit="1" customWidth="1"/>
    <col min="10496" max="10497" width="18.54296875" style="33" bestFit="1" customWidth="1"/>
    <col min="10498" max="10498" width="16.453125" style="33" bestFit="1" customWidth="1"/>
    <col min="10499" max="10499" width="13.54296875" style="33" bestFit="1" customWidth="1"/>
    <col min="10500" max="10500" width="17.54296875" style="33" bestFit="1" customWidth="1"/>
    <col min="10501" max="10501" width="17.453125" style="33" bestFit="1" customWidth="1"/>
    <col min="10502" max="10502" width="22.54296875" style="33" bestFit="1" customWidth="1"/>
    <col min="10503" max="10503" width="15.81640625" style="33" bestFit="1" customWidth="1"/>
    <col min="10504" max="10504" width="17.453125" style="33" bestFit="1" customWidth="1"/>
    <col min="10505" max="10505" width="18.453125" style="33" bestFit="1" customWidth="1"/>
    <col min="10506" max="10506" width="19.54296875" style="33" bestFit="1" customWidth="1"/>
    <col min="10507" max="10749" width="8.7265625" style="33"/>
    <col min="10750" max="10750" width="15.1796875" style="33" customWidth="1"/>
    <col min="10751" max="10751" width="15.1796875" style="33" bestFit="1" customWidth="1"/>
    <col min="10752" max="10753" width="18.54296875" style="33" bestFit="1" customWidth="1"/>
    <col min="10754" max="10754" width="16.453125" style="33" bestFit="1" customWidth="1"/>
    <col min="10755" max="10755" width="13.54296875" style="33" bestFit="1" customWidth="1"/>
    <col min="10756" max="10756" width="17.54296875" style="33" bestFit="1" customWidth="1"/>
    <col min="10757" max="10757" width="17.453125" style="33" bestFit="1" customWidth="1"/>
    <col min="10758" max="10758" width="22.54296875" style="33" bestFit="1" customWidth="1"/>
    <col min="10759" max="10759" width="15.81640625" style="33" bestFit="1" customWidth="1"/>
    <col min="10760" max="10760" width="17.453125" style="33" bestFit="1" customWidth="1"/>
    <col min="10761" max="10761" width="18.453125" style="33" bestFit="1" customWidth="1"/>
    <col min="10762" max="10762" width="19.54296875" style="33" bestFit="1" customWidth="1"/>
    <col min="10763" max="11005" width="8.7265625" style="33"/>
    <col min="11006" max="11006" width="15.1796875" style="33" customWidth="1"/>
    <col min="11007" max="11007" width="15.1796875" style="33" bestFit="1" customWidth="1"/>
    <col min="11008" max="11009" width="18.54296875" style="33" bestFit="1" customWidth="1"/>
    <col min="11010" max="11010" width="16.453125" style="33" bestFit="1" customWidth="1"/>
    <col min="11011" max="11011" width="13.54296875" style="33" bestFit="1" customWidth="1"/>
    <col min="11012" max="11012" width="17.54296875" style="33" bestFit="1" customWidth="1"/>
    <col min="11013" max="11013" width="17.453125" style="33" bestFit="1" customWidth="1"/>
    <col min="11014" max="11014" width="22.54296875" style="33" bestFit="1" customWidth="1"/>
    <col min="11015" max="11015" width="15.81640625" style="33" bestFit="1" customWidth="1"/>
    <col min="11016" max="11016" width="17.453125" style="33" bestFit="1" customWidth="1"/>
    <col min="11017" max="11017" width="18.453125" style="33" bestFit="1" customWidth="1"/>
    <col min="11018" max="11018" width="19.54296875" style="33" bestFit="1" customWidth="1"/>
    <col min="11019" max="11261" width="8.7265625" style="33"/>
    <col min="11262" max="11262" width="15.1796875" style="33" customWidth="1"/>
    <col min="11263" max="11263" width="15.1796875" style="33" bestFit="1" customWidth="1"/>
    <col min="11264" max="11265" width="18.54296875" style="33" bestFit="1" customWidth="1"/>
    <col min="11266" max="11266" width="16.453125" style="33" bestFit="1" customWidth="1"/>
    <col min="11267" max="11267" width="13.54296875" style="33" bestFit="1" customWidth="1"/>
    <col min="11268" max="11268" width="17.54296875" style="33" bestFit="1" customWidth="1"/>
    <col min="11269" max="11269" width="17.453125" style="33" bestFit="1" customWidth="1"/>
    <col min="11270" max="11270" width="22.54296875" style="33" bestFit="1" customWidth="1"/>
    <col min="11271" max="11271" width="15.81640625" style="33" bestFit="1" customWidth="1"/>
    <col min="11272" max="11272" width="17.453125" style="33" bestFit="1" customWidth="1"/>
    <col min="11273" max="11273" width="18.453125" style="33" bestFit="1" customWidth="1"/>
    <col min="11274" max="11274" width="19.54296875" style="33" bestFit="1" customWidth="1"/>
    <col min="11275" max="11517" width="8.7265625" style="33"/>
    <col min="11518" max="11518" width="15.1796875" style="33" customWidth="1"/>
    <col min="11519" max="11519" width="15.1796875" style="33" bestFit="1" customWidth="1"/>
    <col min="11520" max="11521" width="18.54296875" style="33" bestFit="1" customWidth="1"/>
    <col min="11522" max="11522" width="16.453125" style="33" bestFit="1" customWidth="1"/>
    <col min="11523" max="11523" width="13.54296875" style="33" bestFit="1" customWidth="1"/>
    <col min="11524" max="11524" width="17.54296875" style="33" bestFit="1" customWidth="1"/>
    <col min="11525" max="11525" width="17.453125" style="33" bestFit="1" customWidth="1"/>
    <col min="11526" max="11526" width="22.54296875" style="33" bestFit="1" customWidth="1"/>
    <col min="11527" max="11527" width="15.81640625" style="33" bestFit="1" customWidth="1"/>
    <col min="11528" max="11528" width="17.453125" style="33" bestFit="1" customWidth="1"/>
    <col min="11529" max="11529" width="18.453125" style="33" bestFit="1" customWidth="1"/>
    <col min="11530" max="11530" width="19.54296875" style="33" bestFit="1" customWidth="1"/>
    <col min="11531" max="11773" width="8.7265625" style="33"/>
    <col min="11774" max="11774" width="15.1796875" style="33" customWidth="1"/>
    <col min="11775" max="11775" width="15.1796875" style="33" bestFit="1" customWidth="1"/>
    <col min="11776" max="11777" width="18.54296875" style="33" bestFit="1" customWidth="1"/>
    <col min="11778" max="11778" width="16.453125" style="33" bestFit="1" customWidth="1"/>
    <col min="11779" max="11779" width="13.54296875" style="33" bestFit="1" customWidth="1"/>
    <col min="11780" max="11780" width="17.54296875" style="33" bestFit="1" customWidth="1"/>
    <col min="11781" max="11781" width="17.453125" style="33" bestFit="1" customWidth="1"/>
    <col min="11782" max="11782" width="22.54296875" style="33" bestFit="1" customWidth="1"/>
    <col min="11783" max="11783" width="15.81640625" style="33" bestFit="1" customWidth="1"/>
    <col min="11784" max="11784" width="17.453125" style="33" bestFit="1" customWidth="1"/>
    <col min="11785" max="11785" width="18.453125" style="33" bestFit="1" customWidth="1"/>
    <col min="11786" max="11786" width="19.54296875" style="33" bestFit="1" customWidth="1"/>
    <col min="11787" max="12029" width="8.7265625" style="33"/>
    <col min="12030" max="12030" width="15.1796875" style="33" customWidth="1"/>
    <col min="12031" max="12031" width="15.1796875" style="33" bestFit="1" customWidth="1"/>
    <col min="12032" max="12033" width="18.54296875" style="33" bestFit="1" customWidth="1"/>
    <col min="12034" max="12034" width="16.453125" style="33" bestFit="1" customWidth="1"/>
    <col min="12035" max="12035" width="13.54296875" style="33" bestFit="1" customWidth="1"/>
    <col min="12036" max="12036" width="17.54296875" style="33" bestFit="1" customWidth="1"/>
    <col min="12037" max="12037" width="17.453125" style="33" bestFit="1" customWidth="1"/>
    <col min="12038" max="12038" width="22.54296875" style="33" bestFit="1" customWidth="1"/>
    <col min="12039" max="12039" width="15.81640625" style="33" bestFit="1" customWidth="1"/>
    <col min="12040" max="12040" width="17.453125" style="33" bestFit="1" customWidth="1"/>
    <col min="12041" max="12041" width="18.453125" style="33" bestFit="1" customWidth="1"/>
    <col min="12042" max="12042" width="19.54296875" style="33" bestFit="1" customWidth="1"/>
    <col min="12043" max="12285" width="8.7265625" style="33"/>
    <col min="12286" max="12286" width="15.1796875" style="33" customWidth="1"/>
    <col min="12287" max="12287" width="15.1796875" style="33" bestFit="1" customWidth="1"/>
    <col min="12288" max="12289" width="18.54296875" style="33" bestFit="1" customWidth="1"/>
    <col min="12290" max="12290" width="16.453125" style="33" bestFit="1" customWidth="1"/>
    <col min="12291" max="12291" width="13.54296875" style="33" bestFit="1" customWidth="1"/>
    <col min="12292" max="12292" width="17.54296875" style="33" bestFit="1" customWidth="1"/>
    <col min="12293" max="12293" width="17.453125" style="33" bestFit="1" customWidth="1"/>
    <col min="12294" max="12294" width="22.54296875" style="33" bestFit="1" customWidth="1"/>
    <col min="12295" max="12295" width="15.81640625" style="33" bestFit="1" customWidth="1"/>
    <col min="12296" max="12296" width="17.453125" style="33" bestFit="1" customWidth="1"/>
    <col min="12297" max="12297" width="18.453125" style="33" bestFit="1" customWidth="1"/>
    <col min="12298" max="12298" width="19.54296875" style="33" bestFit="1" customWidth="1"/>
    <col min="12299" max="12541" width="8.7265625" style="33"/>
    <col min="12542" max="12542" width="15.1796875" style="33" customWidth="1"/>
    <col min="12543" max="12543" width="15.1796875" style="33" bestFit="1" customWidth="1"/>
    <col min="12544" max="12545" width="18.54296875" style="33" bestFit="1" customWidth="1"/>
    <col min="12546" max="12546" width="16.453125" style="33" bestFit="1" customWidth="1"/>
    <col min="12547" max="12547" width="13.54296875" style="33" bestFit="1" customWidth="1"/>
    <col min="12548" max="12548" width="17.54296875" style="33" bestFit="1" customWidth="1"/>
    <col min="12549" max="12549" width="17.453125" style="33" bestFit="1" customWidth="1"/>
    <col min="12550" max="12550" width="22.54296875" style="33" bestFit="1" customWidth="1"/>
    <col min="12551" max="12551" width="15.81640625" style="33" bestFit="1" customWidth="1"/>
    <col min="12552" max="12552" width="17.453125" style="33" bestFit="1" customWidth="1"/>
    <col min="12553" max="12553" width="18.453125" style="33" bestFit="1" customWidth="1"/>
    <col min="12554" max="12554" width="19.54296875" style="33" bestFit="1" customWidth="1"/>
    <col min="12555" max="12797" width="8.7265625" style="33"/>
    <col min="12798" max="12798" width="15.1796875" style="33" customWidth="1"/>
    <col min="12799" max="12799" width="15.1796875" style="33" bestFit="1" customWidth="1"/>
    <col min="12800" max="12801" width="18.54296875" style="33" bestFit="1" customWidth="1"/>
    <col min="12802" max="12802" width="16.453125" style="33" bestFit="1" customWidth="1"/>
    <col min="12803" max="12803" width="13.54296875" style="33" bestFit="1" customWidth="1"/>
    <col min="12804" max="12804" width="17.54296875" style="33" bestFit="1" customWidth="1"/>
    <col min="12805" max="12805" width="17.453125" style="33" bestFit="1" customWidth="1"/>
    <col min="12806" max="12806" width="22.54296875" style="33" bestFit="1" customWidth="1"/>
    <col min="12807" max="12807" width="15.81640625" style="33" bestFit="1" customWidth="1"/>
    <col min="12808" max="12808" width="17.453125" style="33" bestFit="1" customWidth="1"/>
    <col min="12809" max="12809" width="18.453125" style="33" bestFit="1" customWidth="1"/>
    <col min="12810" max="12810" width="19.54296875" style="33" bestFit="1" customWidth="1"/>
    <col min="12811" max="13053" width="8.7265625" style="33"/>
    <col min="13054" max="13054" width="15.1796875" style="33" customWidth="1"/>
    <col min="13055" max="13055" width="15.1796875" style="33" bestFit="1" customWidth="1"/>
    <col min="13056" max="13057" width="18.54296875" style="33" bestFit="1" customWidth="1"/>
    <col min="13058" max="13058" width="16.453125" style="33" bestFit="1" customWidth="1"/>
    <col min="13059" max="13059" width="13.54296875" style="33" bestFit="1" customWidth="1"/>
    <col min="13060" max="13060" width="17.54296875" style="33" bestFit="1" customWidth="1"/>
    <col min="13061" max="13061" width="17.453125" style="33" bestFit="1" customWidth="1"/>
    <col min="13062" max="13062" width="22.54296875" style="33" bestFit="1" customWidth="1"/>
    <col min="13063" max="13063" width="15.81640625" style="33" bestFit="1" customWidth="1"/>
    <col min="13064" max="13064" width="17.453125" style="33" bestFit="1" customWidth="1"/>
    <col min="13065" max="13065" width="18.453125" style="33" bestFit="1" customWidth="1"/>
    <col min="13066" max="13066" width="19.54296875" style="33" bestFit="1" customWidth="1"/>
    <col min="13067" max="13309" width="8.7265625" style="33"/>
    <col min="13310" max="13310" width="15.1796875" style="33" customWidth="1"/>
    <col min="13311" max="13311" width="15.1796875" style="33" bestFit="1" customWidth="1"/>
    <col min="13312" max="13313" width="18.54296875" style="33" bestFit="1" customWidth="1"/>
    <col min="13314" max="13314" width="16.453125" style="33" bestFit="1" customWidth="1"/>
    <col min="13315" max="13315" width="13.54296875" style="33" bestFit="1" customWidth="1"/>
    <col min="13316" max="13316" width="17.54296875" style="33" bestFit="1" customWidth="1"/>
    <col min="13317" max="13317" width="17.453125" style="33" bestFit="1" customWidth="1"/>
    <col min="13318" max="13318" width="22.54296875" style="33" bestFit="1" customWidth="1"/>
    <col min="13319" max="13319" width="15.81640625" style="33" bestFit="1" customWidth="1"/>
    <col min="13320" max="13320" width="17.453125" style="33" bestFit="1" customWidth="1"/>
    <col min="13321" max="13321" width="18.453125" style="33" bestFit="1" customWidth="1"/>
    <col min="13322" max="13322" width="19.54296875" style="33" bestFit="1" customWidth="1"/>
    <col min="13323" max="13565" width="8.7265625" style="33"/>
    <col min="13566" max="13566" width="15.1796875" style="33" customWidth="1"/>
    <col min="13567" max="13567" width="15.1796875" style="33" bestFit="1" customWidth="1"/>
    <col min="13568" max="13569" width="18.54296875" style="33" bestFit="1" customWidth="1"/>
    <col min="13570" max="13570" width="16.453125" style="33" bestFit="1" customWidth="1"/>
    <col min="13571" max="13571" width="13.54296875" style="33" bestFit="1" customWidth="1"/>
    <col min="13572" max="13572" width="17.54296875" style="33" bestFit="1" customWidth="1"/>
    <col min="13573" max="13573" width="17.453125" style="33" bestFit="1" customWidth="1"/>
    <col min="13574" max="13574" width="22.54296875" style="33" bestFit="1" customWidth="1"/>
    <col min="13575" max="13575" width="15.81640625" style="33" bestFit="1" customWidth="1"/>
    <col min="13576" max="13576" width="17.453125" style="33" bestFit="1" customWidth="1"/>
    <col min="13577" max="13577" width="18.453125" style="33" bestFit="1" customWidth="1"/>
    <col min="13578" max="13578" width="19.54296875" style="33" bestFit="1" customWidth="1"/>
    <col min="13579" max="13821" width="8.7265625" style="33"/>
    <col min="13822" max="13822" width="15.1796875" style="33" customWidth="1"/>
    <col min="13823" max="13823" width="15.1796875" style="33" bestFit="1" customWidth="1"/>
    <col min="13824" max="13825" width="18.54296875" style="33" bestFit="1" customWidth="1"/>
    <col min="13826" max="13826" width="16.453125" style="33" bestFit="1" customWidth="1"/>
    <col min="13827" max="13827" width="13.54296875" style="33" bestFit="1" customWidth="1"/>
    <col min="13828" max="13828" width="17.54296875" style="33" bestFit="1" customWidth="1"/>
    <col min="13829" max="13829" width="17.453125" style="33" bestFit="1" customWidth="1"/>
    <col min="13830" max="13830" width="22.54296875" style="33" bestFit="1" customWidth="1"/>
    <col min="13831" max="13831" width="15.81640625" style="33" bestFit="1" customWidth="1"/>
    <col min="13832" max="13832" width="17.453125" style="33" bestFit="1" customWidth="1"/>
    <col min="13833" max="13833" width="18.453125" style="33" bestFit="1" customWidth="1"/>
    <col min="13834" max="13834" width="19.54296875" style="33" bestFit="1" customWidth="1"/>
    <col min="13835" max="14077" width="8.7265625" style="33"/>
    <col min="14078" max="14078" width="15.1796875" style="33" customWidth="1"/>
    <col min="14079" max="14079" width="15.1796875" style="33" bestFit="1" customWidth="1"/>
    <col min="14080" max="14081" width="18.54296875" style="33" bestFit="1" customWidth="1"/>
    <col min="14082" max="14082" width="16.453125" style="33" bestFit="1" customWidth="1"/>
    <col min="14083" max="14083" width="13.54296875" style="33" bestFit="1" customWidth="1"/>
    <col min="14084" max="14084" width="17.54296875" style="33" bestFit="1" customWidth="1"/>
    <col min="14085" max="14085" width="17.453125" style="33" bestFit="1" customWidth="1"/>
    <col min="14086" max="14086" width="22.54296875" style="33" bestFit="1" customWidth="1"/>
    <col min="14087" max="14087" width="15.81640625" style="33" bestFit="1" customWidth="1"/>
    <col min="14088" max="14088" width="17.453125" style="33" bestFit="1" customWidth="1"/>
    <col min="14089" max="14089" width="18.453125" style="33" bestFit="1" customWidth="1"/>
    <col min="14090" max="14090" width="19.54296875" style="33" bestFit="1" customWidth="1"/>
    <col min="14091" max="14333" width="8.7265625" style="33"/>
    <col min="14334" max="14334" width="15.1796875" style="33" customWidth="1"/>
    <col min="14335" max="14335" width="15.1796875" style="33" bestFit="1" customWidth="1"/>
    <col min="14336" max="14337" width="18.54296875" style="33" bestFit="1" customWidth="1"/>
    <col min="14338" max="14338" width="16.453125" style="33" bestFit="1" customWidth="1"/>
    <col min="14339" max="14339" width="13.54296875" style="33" bestFit="1" customWidth="1"/>
    <col min="14340" max="14340" width="17.54296875" style="33" bestFit="1" customWidth="1"/>
    <col min="14341" max="14341" width="17.453125" style="33" bestFit="1" customWidth="1"/>
    <col min="14342" max="14342" width="22.54296875" style="33" bestFit="1" customWidth="1"/>
    <col min="14343" max="14343" width="15.81640625" style="33" bestFit="1" customWidth="1"/>
    <col min="14344" max="14344" width="17.453125" style="33" bestFit="1" customWidth="1"/>
    <col min="14345" max="14345" width="18.453125" style="33" bestFit="1" customWidth="1"/>
    <col min="14346" max="14346" width="19.54296875" style="33" bestFit="1" customWidth="1"/>
    <col min="14347" max="14589" width="8.7265625" style="33"/>
    <col min="14590" max="14590" width="15.1796875" style="33" customWidth="1"/>
    <col min="14591" max="14591" width="15.1796875" style="33" bestFit="1" customWidth="1"/>
    <col min="14592" max="14593" width="18.54296875" style="33" bestFit="1" customWidth="1"/>
    <col min="14594" max="14594" width="16.453125" style="33" bestFit="1" customWidth="1"/>
    <col min="14595" max="14595" width="13.54296875" style="33" bestFit="1" customWidth="1"/>
    <col min="14596" max="14596" width="17.54296875" style="33" bestFit="1" customWidth="1"/>
    <col min="14597" max="14597" width="17.453125" style="33" bestFit="1" customWidth="1"/>
    <col min="14598" max="14598" width="22.54296875" style="33" bestFit="1" customWidth="1"/>
    <col min="14599" max="14599" width="15.81640625" style="33" bestFit="1" customWidth="1"/>
    <col min="14600" max="14600" width="17.453125" style="33" bestFit="1" customWidth="1"/>
    <col min="14601" max="14601" width="18.453125" style="33" bestFit="1" customWidth="1"/>
    <col min="14602" max="14602" width="19.54296875" style="33" bestFit="1" customWidth="1"/>
    <col min="14603" max="14845" width="8.7265625" style="33"/>
    <col min="14846" max="14846" width="15.1796875" style="33" customWidth="1"/>
    <col min="14847" max="14847" width="15.1796875" style="33" bestFit="1" customWidth="1"/>
    <col min="14848" max="14849" width="18.54296875" style="33" bestFit="1" customWidth="1"/>
    <col min="14850" max="14850" width="16.453125" style="33" bestFit="1" customWidth="1"/>
    <col min="14851" max="14851" width="13.54296875" style="33" bestFit="1" customWidth="1"/>
    <col min="14852" max="14852" width="17.54296875" style="33" bestFit="1" customWidth="1"/>
    <col min="14853" max="14853" width="17.453125" style="33" bestFit="1" customWidth="1"/>
    <col min="14854" max="14854" width="22.54296875" style="33" bestFit="1" customWidth="1"/>
    <col min="14855" max="14855" width="15.81640625" style="33" bestFit="1" customWidth="1"/>
    <col min="14856" max="14856" width="17.453125" style="33" bestFit="1" customWidth="1"/>
    <col min="14857" max="14857" width="18.453125" style="33" bestFit="1" customWidth="1"/>
    <col min="14858" max="14858" width="19.54296875" style="33" bestFit="1" customWidth="1"/>
    <col min="14859" max="15101" width="8.7265625" style="33"/>
    <col min="15102" max="15102" width="15.1796875" style="33" customWidth="1"/>
    <col min="15103" max="15103" width="15.1796875" style="33" bestFit="1" customWidth="1"/>
    <col min="15104" max="15105" width="18.54296875" style="33" bestFit="1" customWidth="1"/>
    <col min="15106" max="15106" width="16.453125" style="33" bestFit="1" customWidth="1"/>
    <col min="15107" max="15107" width="13.54296875" style="33" bestFit="1" customWidth="1"/>
    <col min="15108" max="15108" width="17.54296875" style="33" bestFit="1" customWidth="1"/>
    <col min="15109" max="15109" width="17.453125" style="33" bestFit="1" customWidth="1"/>
    <col min="15110" max="15110" width="22.54296875" style="33" bestFit="1" customWidth="1"/>
    <col min="15111" max="15111" width="15.81640625" style="33" bestFit="1" customWidth="1"/>
    <col min="15112" max="15112" width="17.453125" style="33" bestFit="1" customWidth="1"/>
    <col min="15113" max="15113" width="18.453125" style="33" bestFit="1" customWidth="1"/>
    <col min="15114" max="15114" width="19.54296875" style="33" bestFit="1" customWidth="1"/>
    <col min="15115" max="15357" width="8.7265625" style="33"/>
    <col min="15358" max="15358" width="15.1796875" style="33" customWidth="1"/>
    <col min="15359" max="15359" width="15.1796875" style="33" bestFit="1" customWidth="1"/>
    <col min="15360" max="15361" width="18.54296875" style="33" bestFit="1" customWidth="1"/>
    <col min="15362" max="15362" width="16.453125" style="33" bestFit="1" customWidth="1"/>
    <col min="15363" max="15363" width="13.54296875" style="33" bestFit="1" customWidth="1"/>
    <col min="15364" max="15364" width="17.54296875" style="33" bestFit="1" customWidth="1"/>
    <col min="15365" max="15365" width="17.453125" style="33" bestFit="1" customWidth="1"/>
    <col min="15366" max="15366" width="22.54296875" style="33" bestFit="1" customWidth="1"/>
    <col min="15367" max="15367" width="15.81640625" style="33" bestFit="1" customWidth="1"/>
    <col min="15368" max="15368" width="17.453125" style="33" bestFit="1" customWidth="1"/>
    <col min="15369" max="15369" width="18.453125" style="33" bestFit="1" customWidth="1"/>
    <col min="15370" max="15370" width="19.54296875" style="33" bestFit="1" customWidth="1"/>
    <col min="15371" max="15613" width="8.7265625" style="33"/>
    <col min="15614" max="15614" width="15.1796875" style="33" customWidth="1"/>
    <col min="15615" max="15615" width="15.1796875" style="33" bestFit="1" customWidth="1"/>
    <col min="15616" max="15617" width="18.54296875" style="33" bestFit="1" customWidth="1"/>
    <col min="15618" max="15618" width="16.453125" style="33" bestFit="1" customWidth="1"/>
    <col min="15619" max="15619" width="13.54296875" style="33" bestFit="1" customWidth="1"/>
    <col min="15620" max="15620" width="17.54296875" style="33" bestFit="1" customWidth="1"/>
    <col min="15621" max="15621" width="17.453125" style="33" bestFit="1" customWidth="1"/>
    <col min="15622" max="15622" width="22.54296875" style="33" bestFit="1" customWidth="1"/>
    <col min="15623" max="15623" width="15.81640625" style="33" bestFit="1" customWidth="1"/>
    <col min="15624" max="15624" width="17.453125" style="33" bestFit="1" customWidth="1"/>
    <col min="15625" max="15625" width="18.453125" style="33" bestFit="1" customWidth="1"/>
    <col min="15626" max="15626" width="19.54296875" style="33" bestFit="1" customWidth="1"/>
    <col min="15627" max="15869" width="8.7265625" style="33"/>
    <col min="15870" max="15870" width="15.1796875" style="33" customWidth="1"/>
    <col min="15871" max="15871" width="15.1796875" style="33" bestFit="1" customWidth="1"/>
    <col min="15872" max="15873" width="18.54296875" style="33" bestFit="1" customWidth="1"/>
    <col min="15874" max="15874" width="16.453125" style="33" bestFit="1" customWidth="1"/>
    <col min="15875" max="15875" width="13.54296875" style="33" bestFit="1" customWidth="1"/>
    <col min="15876" max="15876" width="17.54296875" style="33" bestFit="1" customWidth="1"/>
    <col min="15877" max="15877" width="17.453125" style="33" bestFit="1" customWidth="1"/>
    <col min="15878" max="15878" width="22.54296875" style="33" bestFit="1" customWidth="1"/>
    <col min="15879" max="15879" width="15.81640625" style="33" bestFit="1" customWidth="1"/>
    <col min="15880" max="15880" width="17.453125" style="33" bestFit="1" customWidth="1"/>
    <col min="15881" max="15881" width="18.453125" style="33" bestFit="1" customWidth="1"/>
    <col min="15882" max="15882" width="19.54296875" style="33" bestFit="1" customWidth="1"/>
    <col min="15883" max="16125" width="8.7265625" style="33"/>
    <col min="16126" max="16126" width="15.1796875" style="33" customWidth="1"/>
    <col min="16127" max="16127" width="15.1796875" style="33" bestFit="1" customWidth="1"/>
    <col min="16128" max="16129" width="18.54296875" style="33" bestFit="1" customWidth="1"/>
    <col min="16130" max="16130" width="16.453125" style="33" bestFit="1" customWidth="1"/>
    <col min="16131" max="16131" width="13.54296875" style="33" bestFit="1" customWidth="1"/>
    <col min="16132" max="16132" width="17.54296875" style="33" bestFit="1" customWidth="1"/>
    <col min="16133" max="16133" width="17.453125" style="33" bestFit="1" customWidth="1"/>
    <col min="16134" max="16134" width="22.54296875" style="33" bestFit="1" customWidth="1"/>
    <col min="16135" max="16135" width="15.81640625" style="33" bestFit="1" customWidth="1"/>
    <col min="16136" max="16136" width="17.453125" style="33" bestFit="1" customWidth="1"/>
    <col min="16137" max="16137" width="18.453125" style="33" bestFit="1" customWidth="1"/>
    <col min="16138" max="16138" width="19.54296875" style="33" bestFit="1" customWidth="1"/>
    <col min="16139" max="16382" width="8.7265625" style="33"/>
    <col min="16383" max="16384" width="9.1796875" style="33" customWidth="1"/>
  </cols>
  <sheetData>
    <row r="1" spans="1:20" x14ac:dyDescent="0.25">
      <c r="A1" s="33" t="s">
        <v>232</v>
      </c>
      <c r="B1" s="33" t="s">
        <v>430</v>
      </c>
      <c r="C1" s="34" t="s">
        <v>431</v>
      </c>
      <c r="D1" s="34" t="s">
        <v>518</v>
      </c>
      <c r="E1" s="34" t="s">
        <v>432</v>
      </c>
      <c r="F1" s="34" t="s">
        <v>433</v>
      </c>
      <c r="G1" s="35" t="s">
        <v>434</v>
      </c>
      <c r="H1" s="35" t="s">
        <v>520</v>
      </c>
      <c r="I1" s="35" t="s">
        <v>489</v>
      </c>
      <c r="J1" s="35" t="s">
        <v>490</v>
      </c>
      <c r="K1" s="35" t="s">
        <v>435</v>
      </c>
      <c r="L1" s="35" t="s">
        <v>436</v>
      </c>
      <c r="M1" s="33" t="s">
        <v>437</v>
      </c>
      <c r="N1" s="33" t="s">
        <v>438</v>
      </c>
      <c r="O1" s="33" t="s">
        <v>439</v>
      </c>
      <c r="Q1" t="s">
        <v>525</v>
      </c>
      <c r="R1" t="s">
        <v>526</v>
      </c>
      <c r="S1" t="s">
        <v>527</v>
      </c>
    </row>
    <row r="2" spans="1:20" x14ac:dyDescent="0.25">
      <c r="A2" s="33" t="s">
        <v>234</v>
      </c>
      <c r="B2" s="36" t="s">
        <v>428</v>
      </c>
      <c r="C2" s="34">
        <v>1784</v>
      </c>
      <c r="D2" s="34">
        <v>1843.4</v>
      </c>
      <c r="E2" s="34">
        <v>131</v>
      </c>
      <c r="F2" s="34">
        <v>0</v>
      </c>
      <c r="G2" s="37">
        <v>0</v>
      </c>
      <c r="H2" s="34">
        <v>8</v>
      </c>
      <c r="I2" s="34">
        <v>387</v>
      </c>
      <c r="J2" s="34">
        <v>578</v>
      </c>
      <c r="K2" s="34">
        <v>1146</v>
      </c>
      <c r="L2" s="34">
        <v>1784</v>
      </c>
      <c r="M2" s="34">
        <v>1843.4</v>
      </c>
      <c r="N2" s="34">
        <v>76</v>
      </c>
      <c r="O2" s="34">
        <f>J2</f>
        <v>578</v>
      </c>
      <c r="P2" s="38"/>
      <c r="Q2" t="s">
        <v>234</v>
      </c>
      <c r="R2" t="s">
        <v>428</v>
      </c>
      <c r="S2" t="s">
        <v>528</v>
      </c>
      <c r="T2" s="33"/>
    </row>
    <row r="3" spans="1:20" x14ac:dyDescent="0.25">
      <c r="A3" s="36" t="s">
        <v>234</v>
      </c>
      <c r="B3" s="36" t="s">
        <v>429</v>
      </c>
      <c r="C3" s="34">
        <v>838</v>
      </c>
      <c r="D3" s="34">
        <v>838</v>
      </c>
      <c r="E3" s="34">
        <v>102</v>
      </c>
      <c r="F3" s="34">
        <v>0</v>
      </c>
      <c r="G3" s="37">
        <v>0</v>
      </c>
      <c r="H3" s="34">
        <v>0</v>
      </c>
      <c r="I3" s="34">
        <v>428</v>
      </c>
      <c r="J3" s="34">
        <v>467</v>
      </c>
      <c r="K3" s="34">
        <v>736</v>
      </c>
      <c r="L3" s="34">
        <v>838</v>
      </c>
      <c r="M3" s="34">
        <v>838</v>
      </c>
      <c r="N3" s="34">
        <v>135</v>
      </c>
      <c r="O3" s="34">
        <f t="shared" ref="O3:O47" si="0">J3</f>
        <v>467</v>
      </c>
      <c r="P3" s="38"/>
      <c r="Q3" t="s">
        <v>234</v>
      </c>
      <c r="R3" t="s">
        <v>429</v>
      </c>
      <c r="S3" t="s">
        <v>529</v>
      </c>
      <c r="T3" s="33"/>
    </row>
    <row r="4" spans="1:20" x14ac:dyDescent="0.25">
      <c r="A4" s="36" t="s">
        <v>234</v>
      </c>
      <c r="B4" s="36" t="s">
        <v>440</v>
      </c>
      <c r="C4" s="34">
        <v>1774.5</v>
      </c>
      <c r="D4" s="34">
        <v>1988.2</v>
      </c>
      <c r="E4" s="34">
        <v>130</v>
      </c>
      <c r="F4" s="34">
        <v>0</v>
      </c>
      <c r="G4" s="37">
        <v>0</v>
      </c>
      <c r="H4" s="34">
        <v>15</v>
      </c>
      <c r="I4" s="34">
        <v>972</v>
      </c>
      <c r="J4" s="34">
        <v>1415</v>
      </c>
      <c r="K4" s="34">
        <v>1185</v>
      </c>
      <c r="L4" s="34">
        <v>1777</v>
      </c>
      <c r="M4" s="34">
        <v>1988.2</v>
      </c>
      <c r="N4" s="34">
        <v>476</v>
      </c>
      <c r="O4" s="34">
        <f t="shared" si="0"/>
        <v>1415</v>
      </c>
      <c r="P4" s="38"/>
      <c r="Q4" t="s">
        <v>234</v>
      </c>
      <c r="R4" t="s">
        <v>440</v>
      </c>
      <c r="S4" t="s">
        <v>500</v>
      </c>
      <c r="T4" s="33"/>
    </row>
    <row r="5" spans="1:20" x14ac:dyDescent="0.25">
      <c r="A5" s="36" t="s">
        <v>235</v>
      </c>
      <c r="B5" s="36" t="s">
        <v>441</v>
      </c>
      <c r="C5" s="34">
        <v>284</v>
      </c>
      <c r="D5" s="34">
        <v>0</v>
      </c>
      <c r="E5" s="34">
        <v>52</v>
      </c>
      <c r="F5" s="34">
        <v>0</v>
      </c>
      <c r="G5" s="37">
        <v>0</v>
      </c>
      <c r="H5" s="34">
        <v>0</v>
      </c>
      <c r="I5" s="34">
        <v>201</v>
      </c>
      <c r="J5" s="34">
        <v>245</v>
      </c>
      <c r="K5" s="34">
        <v>232</v>
      </c>
      <c r="L5" s="34">
        <v>284</v>
      </c>
      <c r="M5" s="34">
        <v>0</v>
      </c>
      <c r="N5" s="34">
        <v>150</v>
      </c>
      <c r="O5" s="34">
        <f t="shared" si="0"/>
        <v>245</v>
      </c>
      <c r="P5" s="38"/>
      <c r="Q5" t="s">
        <v>235</v>
      </c>
      <c r="R5" s="33" t="s">
        <v>467</v>
      </c>
      <c r="S5" t="s">
        <v>530</v>
      </c>
      <c r="T5" s="33"/>
    </row>
    <row r="6" spans="1:20" x14ac:dyDescent="0.25">
      <c r="A6" s="39" t="s">
        <v>235</v>
      </c>
      <c r="B6" s="39" t="s">
        <v>521</v>
      </c>
      <c r="C6" s="34">
        <v>0</v>
      </c>
      <c r="D6" s="34">
        <v>0</v>
      </c>
      <c r="E6" s="34">
        <v>0</v>
      </c>
      <c r="F6" s="34">
        <v>0</v>
      </c>
      <c r="G6" s="37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f t="shared" si="0"/>
        <v>0</v>
      </c>
      <c r="P6" s="38"/>
      <c r="Q6" t="s">
        <v>235</v>
      </c>
      <c r="R6" t="s">
        <v>521</v>
      </c>
      <c r="S6" t="s">
        <v>531</v>
      </c>
      <c r="T6" s="33"/>
    </row>
    <row r="7" spans="1:20" x14ac:dyDescent="0.25">
      <c r="A7" s="36" t="s">
        <v>235</v>
      </c>
      <c r="B7" s="36" t="s">
        <v>442</v>
      </c>
      <c r="C7" s="34">
        <v>87</v>
      </c>
      <c r="D7" s="34">
        <v>0</v>
      </c>
      <c r="E7" s="34">
        <v>0</v>
      </c>
      <c r="F7" s="34">
        <v>0</v>
      </c>
      <c r="G7" s="37">
        <v>0</v>
      </c>
      <c r="H7" s="34">
        <v>0</v>
      </c>
      <c r="I7" s="34">
        <v>0</v>
      </c>
      <c r="J7" s="34">
        <v>70</v>
      </c>
      <c r="K7" s="34">
        <v>0</v>
      </c>
      <c r="L7" s="34">
        <v>87</v>
      </c>
      <c r="M7" s="34">
        <v>0</v>
      </c>
      <c r="N7" s="34">
        <v>1</v>
      </c>
      <c r="O7" s="34">
        <f t="shared" si="0"/>
        <v>70</v>
      </c>
      <c r="P7" s="38"/>
      <c r="Q7" t="s">
        <v>235</v>
      </c>
      <c r="R7" t="s">
        <v>442</v>
      </c>
      <c r="S7" t="s">
        <v>532</v>
      </c>
      <c r="T7" s="33"/>
    </row>
    <row r="8" spans="1:20" x14ac:dyDescent="0.25">
      <c r="A8" s="36" t="s">
        <v>235</v>
      </c>
      <c r="B8" s="36" t="s">
        <v>443</v>
      </c>
      <c r="C8" s="34">
        <v>166</v>
      </c>
      <c r="D8" s="34">
        <v>0</v>
      </c>
      <c r="E8" s="34">
        <v>0</v>
      </c>
      <c r="F8" s="34">
        <v>0</v>
      </c>
      <c r="G8" s="37">
        <v>0</v>
      </c>
      <c r="H8" s="34">
        <v>0</v>
      </c>
      <c r="I8" s="34">
        <v>142</v>
      </c>
      <c r="J8" s="34">
        <v>142</v>
      </c>
      <c r="K8" s="34">
        <v>166</v>
      </c>
      <c r="L8" s="34">
        <v>166</v>
      </c>
      <c r="M8" s="34">
        <v>0</v>
      </c>
      <c r="N8" s="34">
        <v>9</v>
      </c>
      <c r="O8" s="34">
        <f t="shared" si="0"/>
        <v>142</v>
      </c>
      <c r="P8" s="38"/>
      <c r="Q8" t="s">
        <v>235</v>
      </c>
      <c r="R8" t="s">
        <v>443</v>
      </c>
      <c r="S8" t="s">
        <v>533</v>
      </c>
      <c r="T8" s="33"/>
    </row>
    <row r="9" spans="1:20" x14ac:dyDescent="0.25">
      <c r="A9" s="36" t="s">
        <v>236</v>
      </c>
      <c r="B9" s="36" t="s">
        <v>444</v>
      </c>
      <c r="C9" s="34">
        <v>620</v>
      </c>
      <c r="D9" s="34">
        <v>645.79999999999995</v>
      </c>
      <c r="E9" s="34">
        <v>76</v>
      </c>
      <c r="F9" s="34">
        <v>0</v>
      </c>
      <c r="G9" s="37">
        <v>0</v>
      </c>
      <c r="H9" s="34">
        <v>0</v>
      </c>
      <c r="I9" s="34">
        <v>334</v>
      </c>
      <c r="J9" s="34">
        <v>381</v>
      </c>
      <c r="K9" s="34">
        <v>544</v>
      </c>
      <c r="L9" s="34">
        <v>620</v>
      </c>
      <c r="M9" s="34">
        <v>645.79999999999995</v>
      </c>
      <c r="N9" s="34">
        <v>121</v>
      </c>
      <c r="O9" s="34">
        <f t="shared" si="0"/>
        <v>381</v>
      </c>
      <c r="P9" s="38"/>
      <c r="Q9" t="s">
        <v>236</v>
      </c>
      <c r="R9" t="s">
        <v>444</v>
      </c>
      <c r="S9" t="s">
        <v>501</v>
      </c>
      <c r="T9" s="33"/>
    </row>
    <row r="10" spans="1:20" x14ac:dyDescent="0.25">
      <c r="A10" s="33" t="s">
        <v>236</v>
      </c>
      <c r="B10" s="33" t="s">
        <v>514</v>
      </c>
      <c r="C10" s="34">
        <v>287.5</v>
      </c>
      <c r="D10" s="34">
        <v>287.5</v>
      </c>
      <c r="E10" s="34">
        <v>38.5</v>
      </c>
      <c r="F10" s="34">
        <v>17.5</v>
      </c>
      <c r="G10" s="37">
        <v>0</v>
      </c>
      <c r="H10" s="34">
        <v>0</v>
      </c>
      <c r="I10" s="34">
        <v>51</v>
      </c>
      <c r="J10" s="34">
        <v>54</v>
      </c>
      <c r="K10" s="34">
        <v>249</v>
      </c>
      <c r="L10" s="34">
        <v>305</v>
      </c>
      <c r="M10" s="34">
        <v>290.3</v>
      </c>
      <c r="N10" s="34">
        <v>8</v>
      </c>
      <c r="O10" s="34">
        <f t="shared" si="0"/>
        <v>54</v>
      </c>
      <c r="P10" s="38"/>
      <c r="Q10" t="s">
        <v>236</v>
      </c>
      <c r="R10" t="s">
        <v>514</v>
      </c>
      <c r="S10" t="s">
        <v>534</v>
      </c>
      <c r="T10" s="33"/>
    </row>
    <row r="11" spans="1:20" x14ac:dyDescent="0.25">
      <c r="A11" s="36" t="s">
        <v>239</v>
      </c>
      <c r="B11" s="36" t="s">
        <v>343</v>
      </c>
      <c r="C11" s="34">
        <v>460</v>
      </c>
      <c r="D11" s="34">
        <v>462.2</v>
      </c>
      <c r="E11" s="34">
        <v>48</v>
      </c>
      <c r="F11" s="34">
        <v>0</v>
      </c>
      <c r="G11" s="37">
        <v>0</v>
      </c>
      <c r="H11" s="34">
        <v>0</v>
      </c>
      <c r="I11" s="34">
        <v>249</v>
      </c>
      <c r="J11" s="34">
        <v>283</v>
      </c>
      <c r="K11" s="34">
        <v>412</v>
      </c>
      <c r="L11" s="34">
        <v>460</v>
      </c>
      <c r="M11" s="34">
        <v>462.2</v>
      </c>
      <c r="N11" s="34">
        <v>77</v>
      </c>
      <c r="O11" s="34">
        <f t="shared" si="0"/>
        <v>283</v>
      </c>
      <c r="P11" s="38"/>
      <c r="Q11" t="s">
        <v>239</v>
      </c>
      <c r="R11" t="s">
        <v>343</v>
      </c>
      <c r="S11" t="s">
        <v>502</v>
      </c>
      <c r="T11" s="33"/>
    </row>
    <row r="12" spans="1:20" x14ac:dyDescent="0.25">
      <c r="A12" s="36" t="s">
        <v>239</v>
      </c>
      <c r="B12" s="36" t="s">
        <v>445</v>
      </c>
      <c r="C12" s="34">
        <v>288</v>
      </c>
      <c r="D12" s="34">
        <v>288</v>
      </c>
      <c r="E12" s="34">
        <v>23</v>
      </c>
      <c r="F12" s="34">
        <v>0</v>
      </c>
      <c r="G12" s="37">
        <v>0</v>
      </c>
      <c r="H12" s="34">
        <v>0</v>
      </c>
      <c r="I12" s="34">
        <v>222</v>
      </c>
      <c r="J12" s="34">
        <v>243</v>
      </c>
      <c r="K12" s="34">
        <v>265</v>
      </c>
      <c r="L12" s="34">
        <v>288</v>
      </c>
      <c r="M12" s="34">
        <v>288</v>
      </c>
      <c r="N12" s="34">
        <v>131</v>
      </c>
      <c r="O12" s="34">
        <f t="shared" si="0"/>
        <v>243</v>
      </c>
      <c r="P12" s="38"/>
      <c r="Q12" t="s">
        <v>239</v>
      </c>
      <c r="R12" t="s">
        <v>445</v>
      </c>
      <c r="S12" t="s">
        <v>503</v>
      </c>
      <c r="T12" s="33"/>
    </row>
    <row r="13" spans="1:20" x14ac:dyDescent="0.25">
      <c r="A13" s="39" t="s">
        <v>244</v>
      </c>
      <c r="B13" s="39" t="s">
        <v>522</v>
      </c>
      <c r="C13" s="34">
        <v>90</v>
      </c>
      <c r="D13" s="34">
        <v>90</v>
      </c>
      <c r="E13" s="34">
        <v>0</v>
      </c>
      <c r="F13" s="34">
        <v>0</v>
      </c>
      <c r="G13" s="37">
        <v>0</v>
      </c>
      <c r="H13" s="34">
        <v>0</v>
      </c>
      <c r="I13" s="34">
        <v>30</v>
      </c>
      <c r="J13" s="34">
        <v>30</v>
      </c>
      <c r="K13" s="34">
        <v>90</v>
      </c>
      <c r="L13" s="34">
        <v>90</v>
      </c>
      <c r="M13" s="34">
        <v>90</v>
      </c>
      <c r="N13" s="34">
        <v>7</v>
      </c>
      <c r="O13" s="34">
        <f t="shared" si="0"/>
        <v>30</v>
      </c>
      <c r="P13" s="38"/>
      <c r="Q13" t="s">
        <v>244</v>
      </c>
      <c r="R13" t="s">
        <v>522</v>
      </c>
      <c r="S13" t="s">
        <v>535</v>
      </c>
      <c r="T13" s="33"/>
    </row>
    <row r="14" spans="1:20" x14ac:dyDescent="0.25">
      <c r="A14" s="36" t="s">
        <v>247</v>
      </c>
      <c r="B14" s="36" t="s">
        <v>523</v>
      </c>
      <c r="C14" s="34">
        <v>844</v>
      </c>
      <c r="D14" s="34">
        <v>318.5</v>
      </c>
      <c r="E14" s="34">
        <v>101</v>
      </c>
      <c r="F14" s="34">
        <v>0</v>
      </c>
      <c r="G14" s="37">
        <v>0</v>
      </c>
      <c r="H14" s="34">
        <v>0</v>
      </c>
      <c r="I14" s="34">
        <v>340</v>
      </c>
      <c r="J14" s="34">
        <v>391</v>
      </c>
      <c r="K14" s="34">
        <v>743</v>
      </c>
      <c r="L14" s="34">
        <v>844</v>
      </c>
      <c r="M14" s="34">
        <v>318.5</v>
      </c>
      <c r="N14" s="34">
        <v>326</v>
      </c>
      <c r="O14" s="34">
        <f t="shared" si="0"/>
        <v>391</v>
      </c>
      <c r="P14" s="38"/>
      <c r="Q14" t="s">
        <v>247</v>
      </c>
      <c r="R14" t="s">
        <v>523</v>
      </c>
      <c r="S14" t="s">
        <v>536</v>
      </c>
      <c r="T14" s="33"/>
    </row>
    <row r="15" spans="1:20" x14ac:dyDescent="0.25">
      <c r="A15" s="36" t="s">
        <v>247</v>
      </c>
      <c r="B15" s="36" t="s">
        <v>446</v>
      </c>
      <c r="C15" s="34">
        <v>452.5</v>
      </c>
      <c r="D15" s="34">
        <v>566.5</v>
      </c>
      <c r="E15" s="34">
        <v>0</v>
      </c>
      <c r="F15" s="34">
        <v>0</v>
      </c>
      <c r="G15" s="37">
        <v>0</v>
      </c>
      <c r="H15" s="34">
        <v>0</v>
      </c>
      <c r="I15" s="34">
        <v>0</v>
      </c>
      <c r="J15" s="34">
        <v>323</v>
      </c>
      <c r="K15" s="34">
        <v>0</v>
      </c>
      <c r="L15" s="34">
        <v>453</v>
      </c>
      <c r="M15" s="34">
        <v>566.5</v>
      </c>
      <c r="N15" s="34">
        <v>46</v>
      </c>
      <c r="O15" s="34">
        <f t="shared" si="0"/>
        <v>323</v>
      </c>
      <c r="P15" s="38"/>
      <c r="Q15" t="s">
        <v>247</v>
      </c>
      <c r="R15" t="s">
        <v>446</v>
      </c>
      <c r="S15" t="s">
        <v>537</v>
      </c>
      <c r="T15" s="33"/>
    </row>
    <row r="16" spans="1:20" x14ac:dyDescent="0.25">
      <c r="A16" s="36" t="s">
        <v>247</v>
      </c>
      <c r="B16" s="36" t="s">
        <v>447</v>
      </c>
      <c r="C16" s="34">
        <v>0</v>
      </c>
      <c r="D16" s="34">
        <v>0</v>
      </c>
      <c r="E16" s="34">
        <v>0</v>
      </c>
      <c r="F16" s="34">
        <v>0</v>
      </c>
      <c r="G16" s="37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f t="shared" si="0"/>
        <v>0</v>
      </c>
      <c r="P16" s="38"/>
      <c r="Q16" t="s">
        <v>247</v>
      </c>
      <c r="R16" t="s">
        <v>447</v>
      </c>
      <c r="S16" t="s">
        <v>538</v>
      </c>
      <c r="T16" s="33"/>
    </row>
    <row r="17" spans="1:20" x14ac:dyDescent="0.25">
      <c r="A17" s="36" t="s">
        <v>247</v>
      </c>
      <c r="B17" s="36" t="s">
        <v>448</v>
      </c>
      <c r="C17" s="34">
        <v>280</v>
      </c>
      <c r="D17" s="34">
        <v>280</v>
      </c>
      <c r="E17" s="34">
        <v>60</v>
      </c>
      <c r="F17" s="34">
        <v>0</v>
      </c>
      <c r="G17" s="37">
        <v>0</v>
      </c>
      <c r="H17" s="34">
        <v>0</v>
      </c>
      <c r="I17" s="34">
        <v>156</v>
      </c>
      <c r="J17" s="34">
        <v>196</v>
      </c>
      <c r="K17" s="34">
        <v>220</v>
      </c>
      <c r="L17" s="34">
        <v>280</v>
      </c>
      <c r="M17" s="34">
        <v>280</v>
      </c>
      <c r="N17" s="34">
        <v>144</v>
      </c>
      <c r="O17" s="34">
        <f t="shared" si="0"/>
        <v>196</v>
      </c>
      <c r="P17" s="38"/>
      <c r="Q17" t="s">
        <v>247</v>
      </c>
      <c r="R17" t="s">
        <v>448</v>
      </c>
      <c r="S17" t="s">
        <v>539</v>
      </c>
      <c r="T17" s="33"/>
    </row>
    <row r="18" spans="1:20" x14ac:dyDescent="0.25">
      <c r="A18" s="36" t="s">
        <v>247</v>
      </c>
      <c r="B18" s="36" t="s">
        <v>449</v>
      </c>
      <c r="C18" s="34">
        <v>71.5</v>
      </c>
      <c r="D18" s="34">
        <v>121.3</v>
      </c>
      <c r="E18" s="34">
        <v>0</v>
      </c>
      <c r="F18" s="34">
        <v>0</v>
      </c>
      <c r="G18" s="37">
        <v>0</v>
      </c>
      <c r="H18" s="34">
        <v>0</v>
      </c>
      <c r="I18" s="34">
        <v>0</v>
      </c>
      <c r="J18" s="34">
        <v>66</v>
      </c>
      <c r="K18" s="34">
        <v>0</v>
      </c>
      <c r="L18" s="34">
        <v>72</v>
      </c>
      <c r="M18" s="34">
        <v>121.3</v>
      </c>
      <c r="N18" s="34">
        <v>37</v>
      </c>
      <c r="O18" s="34">
        <f t="shared" si="0"/>
        <v>66</v>
      </c>
      <c r="P18" s="38"/>
      <c r="Q18" t="s">
        <v>247</v>
      </c>
      <c r="R18" t="s">
        <v>449</v>
      </c>
      <c r="S18" t="s">
        <v>540</v>
      </c>
      <c r="T18" s="33"/>
    </row>
    <row r="19" spans="1:20" ht="13.5" customHeight="1" x14ac:dyDescent="0.25">
      <c r="A19" s="33" t="s">
        <v>247</v>
      </c>
      <c r="B19" s="33" t="s">
        <v>450</v>
      </c>
      <c r="C19" s="34">
        <v>83</v>
      </c>
      <c r="D19" s="34">
        <v>0</v>
      </c>
      <c r="E19" s="34">
        <v>0</v>
      </c>
      <c r="F19" s="34">
        <v>0</v>
      </c>
      <c r="G19" s="37">
        <v>0</v>
      </c>
      <c r="H19" s="34">
        <v>1</v>
      </c>
      <c r="I19" s="34">
        <v>0</v>
      </c>
      <c r="J19" s="34">
        <v>83</v>
      </c>
      <c r="K19" s="34">
        <v>0</v>
      </c>
      <c r="L19" s="34">
        <v>83</v>
      </c>
      <c r="M19" s="34">
        <v>0</v>
      </c>
      <c r="N19" s="34">
        <v>16</v>
      </c>
      <c r="O19" s="34">
        <f t="shared" si="0"/>
        <v>83</v>
      </c>
      <c r="P19" s="38"/>
      <c r="Q19" t="s">
        <v>247</v>
      </c>
      <c r="R19" t="s">
        <v>450</v>
      </c>
      <c r="S19" t="s">
        <v>504</v>
      </c>
      <c r="T19" s="33"/>
    </row>
    <row r="20" spans="1:20" x14ac:dyDescent="0.25">
      <c r="A20" s="36" t="s">
        <v>247</v>
      </c>
      <c r="B20" s="36" t="s">
        <v>515</v>
      </c>
      <c r="C20" s="34">
        <v>32</v>
      </c>
      <c r="D20" s="34">
        <v>32</v>
      </c>
      <c r="E20" s="34">
        <v>12</v>
      </c>
      <c r="F20" s="34">
        <v>0</v>
      </c>
      <c r="G20" s="37">
        <v>0</v>
      </c>
      <c r="H20" s="34">
        <v>0</v>
      </c>
      <c r="I20" s="34">
        <v>8</v>
      </c>
      <c r="J20" s="34">
        <v>10</v>
      </c>
      <c r="K20" s="34">
        <v>20</v>
      </c>
      <c r="L20" s="34">
        <v>32</v>
      </c>
      <c r="M20" s="34">
        <v>32</v>
      </c>
      <c r="N20" s="34">
        <v>5</v>
      </c>
      <c r="O20" s="34">
        <f t="shared" si="0"/>
        <v>10</v>
      </c>
      <c r="P20" s="38"/>
      <c r="Q20" t="s">
        <v>247</v>
      </c>
      <c r="R20" t="s">
        <v>515</v>
      </c>
      <c r="S20" t="s">
        <v>541</v>
      </c>
      <c r="T20" s="33"/>
    </row>
    <row r="21" spans="1:20" x14ac:dyDescent="0.25">
      <c r="A21" s="36" t="s">
        <v>260</v>
      </c>
      <c r="B21" s="36" t="s">
        <v>451</v>
      </c>
      <c r="C21" s="34">
        <v>154</v>
      </c>
      <c r="D21" s="34">
        <v>154</v>
      </c>
      <c r="E21" s="34">
        <v>16</v>
      </c>
      <c r="F21" s="34">
        <v>0</v>
      </c>
      <c r="G21" s="37">
        <v>0</v>
      </c>
      <c r="H21" s="34">
        <v>0</v>
      </c>
      <c r="I21" s="34">
        <v>24</v>
      </c>
      <c r="J21" s="34">
        <v>26</v>
      </c>
      <c r="K21" s="34">
        <v>138</v>
      </c>
      <c r="L21" s="34">
        <v>154</v>
      </c>
      <c r="M21" s="34">
        <v>154</v>
      </c>
      <c r="N21" s="34">
        <v>1</v>
      </c>
      <c r="O21" s="34">
        <f t="shared" si="0"/>
        <v>26</v>
      </c>
      <c r="P21" s="38"/>
      <c r="Q21" t="s">
        <v>260</v>
      </c>
      <c r="R21" t="s">
        <v>451</v>
      </c>
      <c r="S21" t="s">
        <v>505</v>
      </c>
      <c r="T21" s="33"/>
    </row>
    <row r="22" spans="1:20" x14ac:dyDescent="0.25">
      <c r="A22" s="36" t="s">
        <v>274</v>
      </c>
      <c r="B22" s="36" t="s">
        <v>469</v>
      </c>
      <c r="C22" s="34">
        <v>937.5</v>
      </c>
      <c r="D22" s="34">
        <v>940.5</v>
      </c>
      <c r="E22" s="34">
        <v>76</v>
      </c>
      <c r="F22" s="34">
        <v>14</v>
      </c>
      <c r="G22" s="37">
        <v>0</v>
      </c>
      <c r="H22" s="34">
        <v>0</v>
      </c>
      <c r="I22" s="34">
        <v>54</v>
      </c>
      <c r="J22" s="34">
        <v>63</v>
      </c>
      <c r="K22" s="34">
        <v>817</v>
      </c>
      <c r="L22" s="34">
        <v>1028</v>
      </c>
      <c r="M22" s="34">
        <v>942.7</v>
      </c>
      <c r="N22" s="34">
        <v>39</v>
      </c>
      <c r="O22" s="34">
        <f t="shared" si="0"/>
        <v>63</v>
      </c>
      <c r="P22" s="38"/>
      <c r="Q22" t="s">
        <v>274</v>
      </c>
      <c r="R22" t="s">
        <v>469</v>
      </c>
      <c r="S22" t="s">
        <v>542</v>
      </c>
      <c r="T22" s="33"/>
    </row>
    <row r="23" spans="1:20" x14ac:dyDescent="0.25">
      <c r="A23" s="36" t="s">
        <v>274</v>
      </c>
      <c r="B23" s="36" t="s">
        <v>452</v>
      </c>
      <c r="C23" s="34">
        <v>1025.5</v>
      </c>
      <c r="D23" s="34">
        <v>1164.8</v>
      </c>
      <c r="E23" s="34">
        <v>0</v>
      </c>
      <c r="F23" s="34">
        <v>0</v>
      </c>
      <c r="G23" s="37">
        <v>0</v>
      </c>
      <c r="H23" s="34">
        <v>0</v>
      </c>
      <c r="I23" s="34">
        <v>0</v>
      </c>
      <c r="J23" s="34">
        <v>181</v>
      </c>
      <c r="K23" s="34">
        <v>0</v>
      </c>
      <c r="L23" s="34">
        <v>1039</v>
      </c>
      <c r="M23" s="34">
        <v>1164.8</v>
      </c>
      <c r="N23" s="34">
        <v>6</v>
      </c>
      <c r="O23" s="34">
        <f t="shared" si="0"/>
        <v>181</v>
      </c>
      <c r="P23" s="38"/>
      <c r="Q23" t="s">
        <v>274</v>
      </c>
      <c r="R23" t="s">
        <v>452</v>
      </c>
      <c r="S23" t="s">
        <v>543</v>
      </c>
      <c r="T23" s="33"/>
    </row>
    <row r="24" spans="1:20" x14ac:dyDescent="0.25">
      <c r="A24" s="36" t="s">
        <v>275</v>
      </c>
      <c r="B24" s="36" t="s">
        <v>453</v>
      </c>
      <c r="C24" s="34">
        <v>293</v>
      </c>
      <c r="D24" s="34">
        <v>302</v>
      </c>
      <c r="E24" s="34">
        <v>23</v>
      </c>
      <c r="F24" s="34">
        <v>0</v>
      </c>
      <c r="G24" s="37">
        <v>0</v>
      </c>
      <c r="H24" s="34">
        <v>0</v>
      </c>
      <c r="I24" s="34">
        <v>85</v>
      </c>
      <c r="J24" s="34">
        <v>88</v>
      </c>
      <c r="K24" s="34">
        <v>270</v>
      </c>
      <c r="L24" s="34">
        <v>293</v>
      </c>
      <c r="M24" s="34">
        <v>302</v>
      </c>
      <c r="N24" s="34">
        <v>44</v>
      </c>
      <c r="O24" s="34">
        <f t="shared" si="0"/>
        <v>88</v>
      </c>
      <c r="P24" s="38"/>
      <c r="Q24" t="s">
        <v>275</v>
      </c>
      <c r="R24" t="s">
        <v>453</v>
      </c>
      <c r="S24" t="s">
        <v>506</v>
      </c>
      <c r="T24" s="33"/>
    </row>
    <row r="25" spans="1:20" x14ac:dyDescent="0.25">
      <c r="A25" s="33" t="s">
        <v>285</v>
      </c>
      <c r="B25" s="33" t="s">
        <v>454</v>
      </c>
      <c r="C25" s="34">
        <v>365</v>
      </c>
      <c r="D25" s="34">
        <v>388</v>
      </c>
      <c r="E25" s="34">
        <v>39</v>
      </c>
      <c r="F25" s="34">
        <v>0</v>
      </c>
      <c r="G25" s="37">
        <v>0</v>
      </c>
      <c r="H25" s="34">
        <v>0</v>
      </c>
      <c r="I25" s="34">
        <v>233</v>
      </c>
      <c r="J25" s="34">
        <v>256</v>
      </c>
      <c r="K25" s="34">
        <v>326</v>
      </c>
      <c r="L25" s="34">
        <v>365</v>
      </c>
      <c r="M25" s="34">
        <v>388</v>
      </c>
      <c r="N25" s="34">
        <v>99</v>
      </c>
      <c r="O25" s="34">
        <f t="shared" si="0"/>
        <v>256</v>
      </c>
      <c r="P25" s="38"/>
      <c r="Q25" t="s">
        <v>285</v>
      </c>
      <c r="R25" t="s">
        <v>454</v>
      </c>
      <c r="S25" t="s">
        <v>491</v>
      </c>
      <c r="T25" s="33"/>
    </row>
    <row r="26" spans="1:20" x14ac:dyDescent="0.25">
      <c r="A26" s="39" t="s">
        <v>285</v>
      </c>
      <c r="B26" s="39" t="s">
        <v>455</v>
      </c>
      <c r="C26" s="34">
        <v>636.5</v>
      </c>
      <c r="D26" s="34">
        <v>676.8</v>
      </c>
      <c r="E26" s="34">
        <v>51</v>
      </c>
      <c r="F26" s="34">
        <v>0</v>
      </c>
      <c r="G26" s="37">
        <v>0</v>
      </c>
      <c r="H26" s="34">
        <v>0</v>
      </c>
      <c r="I26" s="34">
        <v>208</v>
      </c>
      <c r="J26" s="34">
        <v>274</v>
      </c>
      <c r="K26" s="34">
        <v>508</v>
      </c>
      <c r="L26" s="34">
        <v>721</v>
      </c>
      <c r="M26" s="34">
        <v>676.8</v>
      </c>
      <c r="N26" s="34">
        <v>39</v>
      </c>
      <c r="O26" s="34">
        <f t="shared" si="0"/>
        <v>274</v>
      </c>
      <c r="P26" s="38"/>
      <c r="Q26" t="s">
        <v>285</v>
      </c>
      <c r="R26" t="s">
        <v>455</v>
      </c>
      <c r="S26" t="s">
        <v>492</v>
      </c>
      <c r="T26" s="33"/>
    </row>
    <row r="27" spans="1:20" x14ac:dyDescent="0.25">
      <c r="A27" s="36" t="s">
        <v>285</v>
      </c>
      <c r="B27" s="36" t="s">
        <v>456</v>
      </c>
      <c r="C27" s="34">
        <v>295</v>
      </c>
      <c r="D27" s="34">
        <v>336.8</v>
      </c>
      <c r="E27" s="34">
        <v>35</v>
      </c>
      <c r="F27" s="34">
        <v>0</v>
      </c>
      <c r="G27" s="37">
        <v>0</v>
      </c>
      <c r="H27" s="34">
        <v>0</v>
      </c>
      <c r="I27" s="34">
        <v>132</v>
      </c>
      <c r="J27" s="34">
        <v>148</v>
      </c>
      <c r="K27" s="34">
        <v>260</v>
      </c>
      <c r="L27" s="34">
        <v>295</v>
      </c>
      <c r="M27" s="34">
        <v>336.8</v>
      </c>
      <c r="N27" s="34">
        <v>17</v>
      </c>
      <c r="O27" s="34">
        <f t="shared" si="0"/>
        <v>148</v>
      </c>
      <c r="P27" s="38"/>
      <c r="Q27" t="s">
        <v>285</v>
      </c>
      <c r="R27" t="s">
        <v>456</v>
      </c>
      <c r="S27" t="s">
        <v>493</v>
      </c>
      <c r="T27" s="33"/>
    </row>
    <row r="28" spans="1:20" x14ac:dyDescent="0.25">
      <c r="A28" s="39" t="s">
        <v>285</v>
      </c>
      <c r="B28" s="39" t="s">
        <v>457</v>
      </c>
      <c r="C28" s="34">
        <v>817.5</v>
      </c>
      <c r="D28" s="34">
        <v>871</v>
      </c>
      <c r="E28" s="34">
        <v>17</v>
      </c>
      <c r="F28" s="34">
        <v>17</v>
      </c>
      <c r="G28" s="37">
        <v>0</v>
      </c>
      <c r="H28" s="34">
        <v>0</v>
      </c>
      <c r="I28" s="34">
        <v>148</v>
      </c>
      <c r="J28" s="34">
        <v>307</v>
      </c>
      <c r="K28" s="34">
        <v>484</v>
      </c>
      <c r="L28" s="34">
        <v>1006</v>
      </c>
      <c r="M28" s="34">
        <v>873.7</v>
      </c>
      <c r="N28" s="34">
        <v>8</v>
      </c>
      <c r="O28" s="34">
        <f t="shared" si="0"/>
        <v>307</v>
      </c>
      <c r="P28" s="38"/>
      <c r="Q28" t="s">
        <v>285</v>
      </c>
      <c r="R28" t="s">
        <v>457</v>
      </c>
      <c r="S28" t="s">
        <v>544</v>
      </c>
      <c r="T28" s="33"/>
    </row>
    <row r="29" spans="1:20" x14ac:dyDescent="0.25">
      <c r="A29" s="36" t="s">
        <v>285</v>
      </c>
      <c r="B29" s="36" t="s">
        <v>458</v>
      </c>
      <c r="C29" s="34">
        <v>341</v>
      </c>
      <c r="D29" s="34">
        <v>341</v>
      </c>
      <c r="E29" s="34">
        <v>80</v>
      </c>
      <c r="F29" s="34">
        <v>6</v>
      </c>
      <c r="G29" s="37">
        <v>0</v>
      </c>
      <c r="H29" s="34">
        <v>0</v>
      </c>
      <c r="I29" s="34">
        <v>108</v>
      </c>
      <c r="J29" s="34">
        <v>133</v>
      </c>
      <c r="K29" s="34">
        <v>276</v>
      </c>
      <c r="L29" s="34">
        <v>362</v>
      </c>
      <c r="M29" s="34">
        <v>342</v>
      </c>
      <c r="N29" s="34">
        <v>41</v>
      </c>
      <c r="O29" s="34">
        <f t="shared" si="0"/>
        <v>133</v>
      </c>
      <c r="P29" s="38"/>
      <c r="Q29" t="s">
        <v>285</v>
      </c>
      <c r="R29" t="s">
        <v>458</v>
      </c>
      <c r="S29" t="s">
        <v>507</v>
      </c>
      <c r="T29" s="33"/>
    </row>
    <row r="30" spans="1:20" x14ac:dyDescent="0.25">
      <c r="A30" s="36" t="s">
        <v>285</v>
      </c>
      <c r="B30" s="36" t="s">
        <v>459</v>
      </c>
      <c r="C30" s="34">
        <v>336.5</v>
      </c>
      <c r="D30" s="34">
        <v>351.5</v>
      </c>
      <c r="E30" s="34">
        <v>56.5</v>
      </c>
      <c r="F30" s="34">
        <v>8</v>
      </c>
      <c r="G30" s="37">
        <v>0</v>
      </c>
      <c r="H30" s="34">
        <v>0</v>
      </c>
      <c r="I30" s="34">
        <v>134</v>
      </c>
      <c r="J30" s="34">
        <v>159</v>
      </c>
      <c r="K30" s="34">
        <v>297</v>
      </c>
      <c r="L30" s="34">
        <v>363</v>
      </c>
      <c r="M30" s="34">
        <v>352.8</v>
      </c>
      <c r="N30" s="34">
        <v>17</v>
      </c>
      <c r="O30" s="34">
        <f t="shared" si="0"/>
        <v>159</v>
      </c>
      <c r="P30" s="38"/>
      <c r="Q30" t="s">
        <v>285</v>
      </c>
      <c r="R30" t="s">
        <v>459</v>
      </c>
      <c r="S30" t="s">
        <v>494</v>
      </c>
      <c r="T30" s="33"/>
    </row>
    <row r="31" spans="1:20" x14ac:dyDescent="0.25">
      <c r="A31" s="36" t="s">
        <v>299</v>
      </c>
      <c r="B31" s="36" t="s">
        <v>460</v>
      </c>
      <c r="C31" s="34">
        <v>177</v>
      </c>
      <c r="D31" s="34">
        <v>252.6</v>
      </c>
      <c r="E31" s="34">
        <v>15</v>
      </c>
      <c r="F31" s="34">
        <v>0</v>
      </c>
      <c r="G31" s="37">
        <v>0</v>
      </c>
      <c r="H31" s="34">
        <v>0</v>
      </c>
      <c r="I31" s="34">
        <v>65</v>
      </c>
      <c r="J31" s="34">
        <v>69</v>
      </c>
      <c r="K31" s="34">
        <v>162</v>
      </c>
      <c r="L31" s="34">
        <v>177</v>
      </c>
      <c r="M31" s="34">
        <v>252.6</v>
      </c>
      <c r="N31" s="34">
        <v>24</v>
      </c>
      <c r="O31" s="34">
        <f t="shared" si="0"/>
        <v>69</v>
      </c>
      <c r="P31" s="38"/>
      <c r="Q31" t="s">
        <v>299</v>
      </c>
      <c r="R31" t="s">
        <v>460</v>
      </c>
      <c r="S31" t="s">
        <v>508</v>
      </c>
      <c r="T31" s="41"/>
    </row>
    <row r="32" spans="1:20" s="41" customFormat="1" x14ac:dyDescent="0.25">
      <c r="A32" s="36" t="s">
        <v>310</v>
      </c>
      <c r="B32" s="36" t="s">
        <v>461</v>
      </c>
      <c r="C32" s="34">
        <v>733</v>
      </c>
      <c r="D32" s="34">
        <v>742.8</v>
      </c>
      <c r="E32" s="34">
        <v>50</v>
      </c>
      <c r="F32" s="34">
        <v>2</v>
      </c>
      <c r="G32" s="37">
        <v>0</v>
      </c>
      <c r="H32" s="34">
        <v>0</v>
      </c>
      <c r="I32" s="34">
        <v>30</v>
      </c>
      <c r="J32" s="34">
        <v>47</v>
      </c>
      <c r="K32" s="34">
        <v>507</v>
      </c>
      <c r="L32" s="34">
        <v>735</v>
      </c>
      <c r="M32" s="34">
        <v>743.1</v>
      </c>
      <c r="N32" s="34">
        <v>2</v>
      </c>
      <c r="O32" s="34">
        <f t="shared" si="0"/>
        <v>47</v>
      </c>
      <c r="P32" s="40"/>
      <c r="Q32" t="s">
        <v>310</v>
      </c>
      <c r="R32" t="s">
        <v>461</v>
      </c>
      <c r="S32" t="s">
        <v>545</v>
      </c>
    </row>
    <row r="33" spans="1:20" s="41" customFormat="1" x14ac:dyDescent="0.25">
      <c r="A33" s="39" t="s">
        <v>310</v>
      </c>
      <c r="B33" s="39" t="s">
        <v>512</v>
      </c>
      <c r="C33" s="34">
        <v>92</v>
      </c>
      <c r="D33" s="34">
        <v>92</v>
      </c>
      <c r="E33" s="34">
        <v>0</v>
      </c>
      <c r="F33" s="34">
        <v>0</v>
      </c>
      <c r="G33" s="37">
        <v>0</v>
      </c>
      <c r="H33" s="34">
        <v>0</v>
      </c>
      <c r="I33" s="34">
        <v>21</v>
      </c>
      <c r="J33" s="34">
        <v>21</v>
      </c>
      <c r="K33" s="34">
        <v>92</v>
      </c>
      <c r="L33" s="34">
        <v>92</v>
      </c>
      <c r="M33" s="34">
        <v>92</v>
      </c>
      <c r="N33" s="34">
        <v>2</v>
      </c>
      <c r="O33" s="34">
        <f t="shared" si="0"/>
        <v>21</v>
      </c>
      <c r="P33" s="40"/>
      <c r="Q33" t="s">
        <v>310</v>
      </c>
      <c r="R33" t="s">
        <v>512</v>
      </c>
      <c r="S33" t="s">
        <v>517</v>
      </c>
    </row>
    <row r="34" spans="1:20" s="41" customFormat="1" x14ac:dyDescent="0.25">
      <c r="A34" s="36" t="s">
        <v>319</v>
      </c>
      <c r="B34" s="36" t="s">
        <v>462</v>
      </c>
      <c r="C34" s="34">
        <v>241</v>
      </c>
      <c r="D34" s="34">
        <v>252.5</v>
      </c>
      <c r="E34" s="34">
        <v>0</v>
      </c>
      <c r="F34" s="34">
        <v>0</v>
      </c>
      <c r="G34" s="37">
        <v>0</v>
      </c>
      <c r="H34" s="34">
        <v>0</v>
      </c>
      <c r="I34" s="34">
        <v>0</v>
      </c>
      <c r="J34" s="34">
        <v>56</v>
      </c>
      <c r="K34" s="34">
        <v>0</v>
      </c>
      <c r="L34" s="34">
        <v>243</v>
      </c>
      <c r="M34" s="34">
        <v>252.5</v>
      </c>
      <c r="N34" s="34">
        <v>1</v>
      </c>
      <c r="O34" s="34">
        <f t="shared" si="0"/>
        <v>56</v>
      </c>
      <c r="P34" s="40"/>
      <c r="Q34" t="s">
        <v>319</v>
      </c>
      <c r="R34" t="s">
        <v>462</v>
      </c>
      <c r="S34" t="s">
        <v>509</v>
      </c>
    </row>
    <row r="35" spans="1:20" s="41" customFormat="1" x14ac:dyDescent="0.25">
      <c r="A35" s="36" t="s">
        <v>319</v>
      </c>
      <c r="B35" s="36" t="s">
        <v>463</v>
      </c>
      <c r="C35" s="34">
        <v>325</v>
      </c>
      <c r="D35" s="34">
        <v>329.7</v>
      </c>
      <c r="E35" s="34">
        <v>1.5</v>
      </c>
      <c r="F35" s="34">
        <v>1.5</v>
      </c>
      <c r="G35" s="37">
        <v>0</v>
      </c>
      <c r="H35" s="34">
        <v>0</v>
      </c>
      <c r="I35" s="34">
        <v>55</v>
      </c>
      <c r="J35" s="34">
        <v>55</v>
      </c>
      <c r="K35" s="34">
        <v>345</v>
      </c>
      <c r="L35" s="34">
        <v>348</v>
      </c>
      <c r="M35" s="34">
        <v>329.9</v>
      </c>
      <c r="N35" s="34">
        <v>2</v>
      </c>
      <c r="O35" s="34">
        <f t="shared" si="0"/>
        <v>55</v>
      </c>
      <c r="P35" s="40"/>
      <c r="Q35" t="s">
        <v>319</v>
      </c>
      <c r="R35" t="s">
        <v>463</v>
      </c>
      <c r="S35" t="s">
        <v>495</v>
      </c>
    </row>
    <row r="36" spans="1:20" s="41" customFormat="1" x14ac:dyDescent="0.25">
      <c r="A36" s="33" t="s">
        <v>322</v>
      </c>
      <c r="B36" s="33" t="s">
        <v>465</v>
      </c>
      <c r="C36" s="34">
        <v>218</v>
      </c>
      <c r="D36" s="34">
        <v>218</v>
      </c>
      <c r="E36" s="34">
        <v>52.5</v>
      </c>
      <c r="F36" s="34">
        <v>3.5</v>
      </c>
      <c r="G36" s="37">
        <v>0</v>
      </c>
      <c r="H36" s="34">
        <v>0</v>
      </c>
      <c r="I36" s="34">
        <v>58</v>
      </c>
      <c r="J36" s="34">
        <v>81</v>
      </c>
      <c r="K36" s="34">
        <v>168</v>
      </c>
      <c r="L36" s="34">
        <v>224</v>
      </c>
      <c r="M36" s="34">
        <v>218.6</v>
      </c>
      <c r="N36" s="34">
        <v>16</v>
      </c>
      <c r="O36" s="34">
        <f t="shared" si="0"/>
        <v>81</v>
      </c>
      <c r="P36" s="40"/>
      <c r="Q36" t="s">
        <v>322</v>
      </c>
      <c r="R36" t="s">
        <v>465</v>
      </c>
      <c r="S36" t="s">
        <v>497</v>
      </c>
    </row>
    <row r="37" spans="1:20" s="41" customFormat="1" x14ac:dyDescent="0.25">
      <c r="A37" s="36" t="s">
        <v>322</v>
      </c>
      <c r="B37" s="36" t="s">
        <v>464</v>
      </c>
      <c r="C37" s="34">
        <v>219.5</v>
      </c>
      <c r="D37" s="34">
        <v>219.5</v>
      </c>
      <c r="E37" s="34">
        <v>37</v>
      </c>
      <c r="F37" s="34">
        <v>0</v>
      </c>
      <c r="G37" s="37">
        <v>0</v>
      </c>
      <c r="H37" s="34">
        <v>0</v>
      </c>
      <c r="I37" s="34">
        <v>94</v>
      </c>
      <c r="J37" s="34">
        <v>109</v>
      </c>
      <c r="K37" s="34">
        <v>186</v>
      </c>
      <c r="L37" s="34">
        <v>223</v>
      </c>
      <c r="M37" s="34">
        <v>219.5</v>
      </c>
      <c r="N37" s="34">
        <v>7</v>
      </c>
      <c r="O37" s="34">
        <f t="shared" si="0"/>
        <v>109</v>
      </c>
      <c r="P37" s="40"/>
      <c r="Q37" t="s">
        <v>322</v>
      </c>
      <c r="R37" t="s">
        <v>464</v>
      </c>
      <c r="S37" t="s">
        <v>546</v>
      </c>
    </row>
    <row r="38" spans="1:20" s="41" customFormat="1" x14ac:dyDescent="0.25">
      <c r="A38" s="36" t="s">
        <v>322</v>
      </c>
      <c r="B38" s="36" t="s">
        <v>470</v>
      </c>
      <c r="C38" s="34">
        <v>624.5</v>
      </c>
      <c r="D38" s="34">
        <v>628</v>
      </c>
      <c r="E38" s="34">
        <v>35.5</v>
      </c>
      <c r="F38" s="34">
        <v>35.5</v>
      </c>
      <c r="G38" s="37">
        <v>0</v>
      </c>
      <c r="H38" s="34">
        <v>0</v>
      </c>
      <c r="I38" s="34">
        <v>51</v>
      </c>
      <c r="J38" s="34">
        <v>62</v>
      </c>
      <c r="K38" s="34">
        <v>538</v>
      </c>
      <c r="L38" s="34">
        <v>690</v>
      </c>
      <c r="M38" s="34">
        <v>633.70000000000005</v>
      </c>
      <c r="N38" s="34">
        <v>2</v>
      </c>
      <c r="O38" s="34">
        <f t="shared" si="0"/>
        <v>62</v>
      </c>
      <c r="P38" s="38"/>
      <c r="Q38" t="s">
        <v>322</v>
      </c>
      <c r="R38" t="s">
        <v>470</v>
      </c>
      <c r="S38" t="s">
        <v>547</v>
      </c>
      <c r="T38" s="33"/>
    </row>
    <row r="39" spans="1:20" x14ac:dyDescent="0.25">
      <c r="A39" s="39" t="s">
        <v>322</v>
      </c>
      <c r="B39" s="39" t="s">
        <v>466</v>
      </c>
      <c r="C39" s="34">
        <v>195</v>
      </c>
      <c r="D39" s="34">
        <v>787</v>
      </c>
      <c r="E39" s="34">
        <v>0</v>
      </c>
      <c r="F39" s="34">
        <v>0</v>
      </c>
      <c r="G39" s="37">
        <v>0</v>
      </c>
      <c r="H39" s="34">
        <v>0</v>
      </c>
      <c r="I39" s="34">
        <v>29</v>
      </c>
      <c r="J39" s="34">
        <v>51</v>
      </c>
      <c r="K39" s="34">
        <v>127</v>
      </c>
      <c r="L39" s="34">
        <v>199</v>
      </c>
      <c r="M39" s="34">
        <v>787</v>
      </c>
      <c r="N39" s="34">
        <v>0</v>
      </c>
      <c r="O39" s="34">
        <f t="shared" si="0"/>
        <v>51</v>
      </c>
      <c r="Q39" t="s">
        <v>322</v>
      </c>
      <c r="R39" t="s">
        <v>466</v>
      </c>
      <c r="S39" t="s">
        <v>548</v>
      </c>
      <c r="T39" s="33"/>
    </row>
    <row r="40" spans="1:20" x14ac:dyDescent="0.25">
      <c r="A40" s="36" t="s">
        <v>322</v>
      </c>
      <c r="B40" s="36" t="s">
        <v>484</v>
      </c>
      <c r="C40" s="34">
        <v>945</v>
      </c>
      <c r="D40" s="34">
        <v>1094.5</v>
      </c>
      <c r="E40" s="34">
        <v>0</v>
      </c>
      <c r="F40" s="34">
        <v>0</v>
      </c>
      <c r="G40" s="37">
        <v>0</v>
      </c>
      <c r="H40" s="34">
        <v>0</v>
      </c>
      <c r="I40" s="34">
        <v>106</v>
      </c>
      <c r="J40" s="34">
        <v>298</v>
      </c>
      <c r="K40" s="34">
        <v>254</v>
      </c>
      <c r="L40" s="34">
        <v>991</v>
      </c>
      <c r="M40" s="34">
        <v>1094.5</v>
      </c>
      <c r="N40" s="34">
        <v>16</v>
      </c>
      <c r="O40" s="34">
        <f t="shared" si="0"/>
        <v>298</v>
      </c>
      <c r="P40" s="40"/>
      <c r="Q40" t="s">
        <v>322</v>
      </c>
      <c r="R40" t="s">
        <v>484</v>
      </c>
      <c r="S40" t="s">
        <v>549</v>
      </c>
      <c r="T40" s="33"/>
    </row>
    <row r="41" spans="1:20" x14ac:dyDescent="0.25">
      <c r="A41" s="33" t="s">
        <v>322</v>
      </c>
      <c r="B41" s="33" t="s">
        <v>513</v>
      </c>
      <c r="C41" s="34">
        <v>408</v>
      </c>
      <c r="D41" s="34">
        <v>408</v>
      </c>
      <c r="E41" s="34">
        <v>0</v>
      </c>
      <c r="F41" s="34">
        <v>0</v>
      </c>
      <c r="G41" s="37">
        <v>0</v>
      </c>
      <c r="H41" s="34">
        <v>0</v>
      </c>
      <c r="I41" s="34">
        <v>16</v>
      </c>
      <c r="J41" s="34">
        <v>75</v>
      </c>
      <c r="K41" s="34">
        <v>113</v>
      </c>
      <c r="L41" s="34">
        <v>428</v>
      </c>
      <c r="M41" s="34">
        <v>408</v>
      </c>
      <c r="N41" s="34">
        <v>1</v>
      </c>
      <c r="O41" s="34">
        <f t="shared" si="0"/>
        <v>75</v>
      </c>
      <c r="P41" s="38"/>
      <c r="Q41" t="s">
        <v>322</v>
      </c>
      <c r="R41" t="s">
        <v>513</v>
      </c>
      <c r="S41" t="s">
        <v>550</v>
      </c>
      <c r="T41" s="33"/>
    </row>
    <row r="42" spans="1:20" x14ac:dyDescent="0.25">
      <c r="A42" s="36" t="s">
        <v>340</v>
      </c>
      <c r="B42" s="36" t="s">
        <v>485</v>
      </c>
      <c r="C42" s="34">
        <v>844</v>
      </c>
      <c r="D42" s="34">
        <v>879.2</v>
      </c>
      <c r="E42" s="34">
        <v>71</v>
      </c>
      <c r="F42" s="34">
        <v>8</v>
      </c>
      <c r="G42" s="37">
        <v>0</v>
      </c>
      <c r="H42" s="34">
        <v>0</v>
      </c>
      <c r="I42" s="34">
        <v>205</v>
      </c>
      <c r="J42" s="34">
        <v>261</v>
      </c>
      <c r="K42" s="34">
        <v>597</v>
      </c>
      <c r="L42" s="34">
        <v>853</v>
      </c>
      <c r="M42" s="34">
        <v>880.5</v>
      </c>
      <c r="N42" s="34">
        <v>10</v>
      </c>
      <c r="O42" s="34">
        <f t="shared" si="0"/>
        <v>261</v>
      </c>
      <c r="P42" s="38"/>
      <c r="Q42" t="s">
        <v>340</v>
      </c>
      <c r="R42" t="s">
        <v>485</v>
      </c>
      <c r="S42" t="s">
        <v>496</v>
      </c>
      <c r="T42" s="33"/>
    </row>
    <row r="43" spans="1:20" x14ac:dyDescent="0.25">
      <c r="A43" s="36" t="s">
        <v>340</v>
      </c>
      <c r="B43" s="36" t="s">
        <v>516</v>
      </c>
      <c r="C43" s="34">
        <v>441</v>
      </c>
      <c r="D43" s="34">
        <v>457</v>
      </c>
      <c r="E43" s="34">
        <v>74</v>
      </c>
      <c r="F43" s="34">
        <v>0</v>
      </c>
      <c r="G43" s="37">
        <v>0</v>
      </c>
      <c r="H43" s="34">
        <v>0</v>
      </c>
      <c r="I43" s="34">
        <v>200</v>
      </c>
      <c r="J43" s="34">
        <v>235</v>
      </c>
      <c r="K43" s="34">
        <v>355</v>
      </c>
      <c r="L43" s="34">
        <v>441</v>
      </c>
      <c r="M43" s="34">
        <v>457</v>
      </c>
      <c r="N43" s="34">
        <v>5</v>
      </c>
      <c r="O43" s="34">
        <f t="shared" si="0"/>
        <v>235</v>
      </c>
      <c r="P43" s="38"/>
      <c r="Q43" t="s">
        <v>340</v>
      </c>
      <c r="R43" t="s">
        <v>516</v>
      </c>
      <c r="S43" t="s">
        <v>551</v>
      </c>
      <c r="T43" s="33"/>
    </row>
    <row r="44" spans="1:20" x14ac:dyDescent="0.25">
      <c r="A44" s="36" t="s">
        <v>340</v>
      </c>
      <c r="B44" s="36" t="s">
        <v>486</v>
      </c>
      <c r="C44" s="34">
        <v>19</v>
      </c>
      <c r="D44" s="34">
        <v>36</v>
      </c>
      <c r="E44" s="34">
        <v>9</v>
      </c>
      <c r="F44" s="34">
        <v>0</v>
      </c>
      <c r="G44" s="37">
        <v>0</v>
      </c>
      <c r="H44" s="34">
        <v>0</v>
      </c>
      <c r="I44" s="34">
        <v>3</v>
      </c>
      <c r="J44" s="34">
        <v>3</v>
      </c>
      <c r="K44" s="34">
        <v>10</v>
      </c>
      <c r="L44" s="34">
        <v>19</v>
      </c>
      <c r="M44" s="34">
        <v>36</v>
      </c>
      <c r="N44" s="34">
        <v>0</v>
      </c>
      <c r="O44" s="34">
        <f t="shared" si="0"/>
        <v>3</v>
      </c>
      <c r="P44" s="38"/>
      <c r="Q44" t="s">
        <v>340</v>
      </c>
      <c r="R44" t="s">
        <v>486</v>
      </c>
      <c r="S44" t="s">
        <v>510</v>
      </c>
      <c r="T44" s="33"/>
    </row>
    <row r="45" spans="1:20" x14ac:dyDescent="0.25">
      <c r="A45" s="36" t="s">
        <v>340</v>
      </c>
      <c r="B45" s="36" t="s">
        <v>524</v>
      </c>
      <c r="C45" s="34">
        <v>29</v>
      </c>
      <c r="D45" s="34">
        <v>29</v>
      </c>
      <c r="E45" s="34">
        <v>7</v>
      </c>
      <c r="F45" s="34">
        <v>0</v>
      </c>
      <c r="G45" s="37">
        <v>0</v>
      </c>
      <c r="H45" s="34">
        <v>0</v>
      </c>
      <c r="I45" s="34">
        <v>7</v>
      </c>
      <c r="J45" s="34">
        <v>11</v>
      </c>
      <c r="K45" s="34">
        <v>22</v>
      </c>
      <c r="L45" s="34">
        <v>29</v>
      </c>
      <c r="M45" s="34">
        <v>29</v>
      </c>
      <c r="N45" s="34">
        <v>0</v>
      </c>
      <c r="O45" s="34">
        <f t="shared" si="0"/>
        <v>11</v>
      </c>
      <c r="P45" s="38"/>
      <c r="Q45" t="s">
        <v>340</v>
      </c>
      <c r="R45" t="s">
        <v>524</v>
      </c>
      <c r="S45" t="s">
        <v>552</v>
      </c>
      <c r="T45" s="33"/>
    </row>
    <row r="46" spans="1:20" x14ac:dyDescent="0.25">
      <c r="A46" s="39" t="s">
        <v>343</v>
      </c>
      <c r="B46" s="39" t="s">
        <v>487</v>
      </c>
      <c r="C46" s="34">
        <v>61</v>
      </c>
      <c r="D46" s="34">
        <v>61</v>
      </c>
      <c r="E46" s="34">
        <v>7</v>
      </c>
      <c r="F46" s="34">
        <v>0</v>
      </c>
      <c r="G46" s="37">
        <v>0</v>
      </c>
      <c r="H46" s="34">
        <v>0</v>
      </c>
      <c r="I46" s="34">
        <v>54</v>
      </c>
      <c r="J46" s="34">
        <v>61</v>
      </c>
      <c r="K46" s="34">
        <v>54</v>
      </c>
      <c r="L46" s="34">
        <v>61</v>
      </c>
      <c r="M46" s="34">
        <v>61</v>
      </c>
      <c r="N46" s="34">
        <v>0</v>
      </c>
      <c r="O46" s="34">
        <f t="shared" si="0"/>
        <v>61</v>
      </c>
      <c r="P46" s="38"/>
      <c r="Q46" t="s">
        <v>343</v>
      </c>
      <c r="R46" t="s">
        <v>487</v>
      </c>
      <c r="S46" t="s">
        <v>511</v>
      </c>
      <c r="T46" s="33"/>
    </row>
    <row r="47" spans="1:20" x14ac:dyDescent="0.25">
      <c r="A47" s="36" t="s">
        <v>377</v>
      </c>
      <c r="B47" s="36" t="s">
        <v>488</v>
      </c>
      <c r="C47" s="34">
        <v>103</v>
      </c>
      <c r="D47" s="34">
        <v>121.2</v>
      </c>
      <c r="E47" s="34">
        <v>21</v>
      </c>
      <c r="F47" s="34">
        <v>0</v>
      </c>
      <c r="G47" s="37">
        <v>0</v>
      </c>
      <c r="H47" s="34">
        <v>0</v>
      </c>
      <c r="I47" s="34">
        <v>11</v>
      </c>
      <c r="J47" s="34">
        <v>13</v>
      </c>
      <c r="K47" s="34">
        <v>82</v>
      </c>
      <c r="L47" s="34">
        <v>103</v>
      </c>
      <c r="M47" s="34">
        <v>121.2</v>
      </c>
      <c r="N47" s="34">
        <v>0</v>
      </c>
      <c r="O47" s="34">
        <f t="shared" si="0"/>
        <v>13</v>
      </c>
      <c r="P47" s="38"/>
      <c r="Q47" t="s">
        <v>377</v>
      </c>
      <c r="R47" t="s">
        <v>488</v>
      </c>
      <c r="S47" t="s">
        <v>553</v>
      </c>
      <c r="T47" s="33"/>
    </row>
    <row r="48" spans="1:20" x14ac:dyDescent="0.25">
      <c r="C48" s="34">
        <f>SUM(C2:C47)</f>
        <v>19318.5</v>
      </c>
      <c r="D48" s="34">
        <f t="shared" ref="D48:O48" si="1">SUM(D2:D47)</f>
        <v>19895.800000000003</v>
      </c>
      <c r="E48" s="34">
        <f t="shared" si="1"/>
        <v>1547.5</v>
      </c>
      <c r="F48" s="34">
        <f t="shared" si="1"/>
        <v>113</v>
      </c>
      <c r="G48" s="34">
        <f t="shared" si="1"/>
        <v>0</v>
      </c>
      <c r="H48" s="34">
        <f t="shared" si="1"/>
        <v>24</v>
      </c>
      <c r="I48" s="34">
        <f t="shared" si="1"/>
        <v>5651</v>
      </c>
      <c r="J48" s="34">
        <f t="shared" si="1"/>
        <v>8120</v>
      </c>
      <c r="K48" s="34">
        <f t="shared" si="1"/>
        <v>12996</v>
      </c>
      <c r="L48" s="34">
        <f t="shared" si="1"/>
        <v>19945</v>
      </c>
      <c r="M48" s="34">
        <f t="shared" si="1"/>
        <v>19913.900000000001</v>
      </c>
      <c r="N48" s="34">
        <f t="shared" si="1"/>
        <v>2164</v>
      </c>
      <c r="O48" s="34">
        <f t="shared" si="1"/>
        <v>8120</v>
      </c>
      <c r="P48" s="38"/>
      <c r="Q48" s="34"/>
      <c r="R48" s="33"/>
      <c r="S48" s="33"/>
      <c r="T48" s="33"/>
    </row>
    <row r="49" spans="1:20" x14ac:dyDescent="0.25">
      <c r="G49" s="34"/>
      <c r="H49" s="34"/>
      <c r="I49" s="34"/>
      <c r="J49" s="34"/>
      <c r="K49" s="34"/>
      <c r="L49" s="34"/>
      <c r="M49" s="34"/>
      <c r="N49" s="34"/>
      <c r="O49" s="35"/>
      <c r="P49" s="38"/>
      <c r="Q49" s="34"/>
    </row>
    <row r="50" spans="1:20" x14ac:dyDescent="0.25">
      <c r="A50" s="36" t="s">
        <v>235</v>
      </c>
      <c r="B50" s="33" t="s">
        <v>467</v>
      </c>
      <c r="C50" s="34">
        <f>SUMIF($B$2:$B$46,"1882",C2:C47)+SUMIF($B$2:$B$46,"9037",C2:C47)+SUMIF($B$2:$B$46,"9040",C2:C47)</f>
        <v>537</v>
      </c>
      <c r="D50" s="34">
        <f>_xlfn.XLOOKUP(B50,'[2]CSI Averaging by School'!$C$2:$C$43,'[2]CSI Averaging by School'!$J$2:$J$43,0)</f>
        <v>587.70000000000005</v>
      </c>
      <c r="E50" s="34">
        <f t="shared" ref="E50:L50" si="2">SUMIF($B$2:$B$46,"1882",E2:E46)+SUMIF($B$2:$B$46,"9037",E2:E46)+SUMIF($B$2:$B$46,"9040",E2:E46)</f>
        <v>52</v>
      </c>
      <c r="F50" s="34">
        <f t="shared" si="2"/>
        <v>0</v>
      </c>
      <c r="G50" s="34">
        <f t="shared" si="2"/>
        <v>0</v>
      </c>
      <c r="H50" s="34">
        <f t="shared" si="2"/>
        <v>0</v>
      </c>
      <c r="I50" s="34">
        <f t="shared" si="2"/>
        <v>343</v>
      </c>
      <c r="J50" s="34">
        <f t="shared" si="2"/>
        <v>457</v>
      </c>
      <c r="K50" s="34">
        <f t="shared" si="2"/>
        <v>398</v>
      </c>
      <c r="L50" s="34">
        <f t="shared" si="2"/>
        <v>537</v>
      </c>
      <c r="M50" s="34">
        <f t="shared" ref="M50:M51" si="3">ROUND(D50+(F50*2*0.08),1)-H50-G50</f>
        <v>587.70000000000005</v>
      </c>
      <c r="N50" s="34">
        <f>SUMIF($B$2:$B$46,"1882",N2:N46)+SUMIF($B$2:$B$46,"9037",N2:N46)+SUMIF($B$2:$B$46,"9040",N2:N46)</f>
        <v>160</v>
      </c>
      <c r="O50" s="34">
        <f t="shared" ref="O50:O51" si="4">J50</f>
        <v>457</v>
      </c>
      <c r="P50" s="38"/>
      <c r="Q50" s="34"/>
    </row>
    <row r="51" spans="1:20" x14ac:dyDescent="0.25">
      <c r="A51" s="36" t="s">
        <v>247</v>
      </c>
      <c r="B51" s="33" t="s">
        <v>468</v>
      </c>
      <c r="C51" s="34">
        <f>SUMIF($B$2:$B$46,"6266",C2:C47)+SUMIF($B$2:$B$46,"3513",C2:C47)</f>
        <v>83</v>
      </c>
      <c r="D51" s="34">
        <f>_xlfn.XLOOKUP(B51,'[2]CSI Averaging by School'!$C$2:$C$43,'[2]CSI Averaging by School'!$J$2:$J$43,0)</f>
        <v>95.5</v>
      </c>
      <c r="E51" s="34">
        <f t="shared" ref="E51:L51" si="5">SUMIF($B$2:$B$46,"6266",E2:E46)+SUMIF($B$2:$B$46,"3513",E2:E46)</f>
        <v>0</v>
      </c>
      <c r="F51" s="34">
        <f t="shared" si="5"/>
        <v>0</v>
      </c>
      <c r="G51" s="34">
        <f t="shared" si="5"/>
        <v>0</v>
      </c>
      <c r="H51" s="34">
        <f t="shared" si="5"/>
        <v>1</v>
      </c>
      <c r="I51" s="34">
        <f t="shared" si="5"/>
        <v>0</v>
      </c>
      <c r="J51" s="34">
        <f t="shared" si="5"/>
        <v>83</v>
      </c>
      <c r="K51" s="34">
        <f t="shared" si="5"/>
        <v>0</v>
      </c>
      <c r="L51" s="34">
        <f t="shared" si="5"/>
        <v>83</v>
      </c>
      <c r="M51" s="34">
        <f t="shared" si="3"/>
        <v>94.5</v>
      </c>
      <c r="N51" s="34">
        <f>SUMIF($B$2:$B$46,"6266",N2:N46)+SUMIF($B$2:$B$46,"3513",N2:N46)</f>
        <v>16</v>
      </c>
      <c r="O51" s="34">
        <f t="shared" si="4"/>
        <v>83</v>
      </c>
      <c r="P51" s="38"/>
      <c r="R51" t="s">
        <v>235</v>
      </c>
      <c r="S51" t="s">
        <v>467</v>
      </c>
    </row>
    <row r="52" spans="1:20" x14ac:dyDescent="0.25">
      <c r="I52" s="35"/>
      <c r="J52" s="35"/>
      <c r="K52" s="35"/>
      <c r="L52" s="35"/>
      <c r="P52" s="38"/>
      <c r="Q52" s="42"/>
      <c r="R52" t="s">
        <v>247</v>
      </c>
      <c r="S52" t="s">
        <v>468</v>
      </c>
    </row>
    <row r="53" spans="1:20" s="42" customFormat="1" x14ac:dyDescent="0.25">
      <c r="C53" s="43"/>
      <c r="D53" s="43"/>
      <c r="E53" s="43"/>
      <c r="F53" s="43"/>
      <c r="G53" s="44"/>
      <c r="H53" s="44"/>
      <c r="I53" s="44"/>
      <c r="J53" s="44"/>
      <c r="K53" s="44"/>
      <c r="L53" s="44"/>
      <c r="M53" s="43"/>
      <c r="O53" s="43"/>
      <c r="P53" s="45"/>
      <c r="Q53" s="33"/>
      <c r="R53"/>
      <c r="S53"/>
      <c r="T53"/>
    </row>
    <row r="54" spans="1:20" x14ac:dyDescent="0.25">
      <c r="I54" s="35"/>
      <c r="J54" s="35"/>
      <c r="K54" s="35"/>
      <c r="L54" s="35"/>
      <c r="P54" s="38"/>
    </row>
    <row r="55" spans="1:20" x14ac:dyDescent="0.25">
      <c r="I55" s="35"/>
      <c r="J55" s="35"/>
      <c r="K55" s="35"/>
      <c r="L55" s="35"/>
      <c r="P55" s="38"/>
    </row>
    <row r="56" spans="1:20" x14ac:dyDescent="0.25">
      <c r="I56" s="35"/>
      <c r="J56" s="35"/>
      <c r="K56" s="35"/>
      <c r="L56" s="35"/>
      <c r="P56" s="38"/>
    </row>
    <row r="57" spans="1:20" x14ac:dyDescent="0.25">
      <c r="I57" s="35"/>
      <c r="J57" s="35"/>
      <c r="K57" s="35"/>
      <c r="L57" s="35"/>
      <c r="P57" s="38"/>
    </row>
    <row r="58" spans="1:20" x14ac:dyDescent="0.25">
      <c r="I58" s="35"/>
      <c r="J58" s="35"/>
      <c r="K58" s="35"/>
      <c r="L58" s="35"/>
      <c r="P58" s="38"/>
    </row>
    <row r="59" spans="1:20" x14ac:dyDescent="0.25">
      <c r="I59" s="35"/>
      <c r="J59" s="35"/>
      <c r="K59" s="35"/>
      <c r="L59" s="35"/>
      <c r="P59" s="38"/>
    </row>
    <row r="60" spans="1:20" x14ac:dyDescent="0.25">
      <c r="I60" s="35"/>
      <c r="J60" s="35"/>
      <c r="K60" s="35"/>
      <c r="L60" s="35"/>
      <c r="P60" s="38"/>
    </row>
    <row r="61" spans="1:20" x14ac:dyDescent="0.25">
      <c r="I61" s="35"/>
      <c r="J61" s="35"/>
      <c r="K61" s="35"/>
      <c r="L61" s="35"/>
      <c r="P61" s="38"/>
    </row>
    <row r="62" spans="1:20" x14ac:dyDescent="0.25">
      <c r="I62" s="35"/>
      <c r="J62" s="35"/>
      <c r="K62" s="35"/>
      <c r="L62" s="35"/>
      <c r="P62" s="38"/>
    </row>
    <row r="63" spans="1:20" x14ac:dyDescent="0.25">
      <c r="I63" s="35"/>
      <c r="J63" s="35"/>
      <c r="K63" s="35"/>
      <c r="L63" s="35"/>
      <c r="P63" s="38"/>
    </row>
    <row r="64" spans="1:20" x14ac:dyDescent="0.25">
      <c r="I64" s="35"/>
      <c r="J64" s="35"/>
      <c r="K64" s="35"/>
      <c r="L64" s="35"/>
      <c r="P64" s="38"/>
    </row>
    <row r="65" spans="9:16" x14ac:dyDescent="0.25">
      <c r="I65" s="35"/>
      <c r="J65" s="35"/>
      <c r="K65" s="35"/>
      <c r="L65" s="35"/>
      <c r="P65" s="38"/>
    </row>
    <row r="66" spans="9:16" x14ac:dyDescent="0.25">
      <c r="I66" s="35"/>
      <c r="J66" s="35"/>
      <c r="K66" s="35"/>
      <c r="L66" s="35"/>
      <c r="P66" s="38"/>
    </row>
    <row r="67" spans="9:16" x14ac:dyDescent="0.25">
      <c r="I67" s="35"/>
      <c r="J67" s="35"/>
      <c r="K67" s="35"/>
      <c r="L67" s="35"/>
      <c r="P67" s="38"/>
    </row>
    <row r="68" spans="9:16" x14ac:dyDescent="0.25">
      <c r="I68" s="35"/>
      <c r="J68" s="35"/>
      <c r="K68" s="35"/>
      <c r="L68" s="35"/>
      <c r="P68" s="38"/>
    </row>
    <row r="69" spans="9:16" x14ac:dyDescent="0.25">
      <c r="I69" s="35"/>
      <c r="J69" s="35"/>
      <c r="K69" s="35"/>
      <c r="L69" s="35"/>
      <c r="P69" s="38"/>
    </row>
    <row r="70" spans="9:16" x14ac:dyDescent="0.25">
      <c r="I70" s="35"/>
      <c r="J70" s="35"/>
      <c r="K70" s="35"/>
      <c r="L70" s="35"/>
      <c r="P70" s="38"/>
    </row>
    <row r="71" spans="9:16" x14ac:dyDescent="0.25">
      <c r="I71" s="35"/>
      <c r="J71" s="35"/>
      <c r="K71" s="35"/>
      <c r="L71" s="35"/>
      <c r="P71" s="38"/>
    </row>
    <row r="72" spans="9:16" x14ac:dyDescent="0.25">
      <c r="I72" s="35"/>
      <c r="J72" s="35"/>
      <c r="K72" s="35"/>
      <c r="L72" s="35"/>
      <c r="P72" s="38"/>
    </row>
    <row r="73" spans="9:16" x14ac:dyDescent="0.25">
      <c r="I73" s="35"/>
      <c r="J73" s="35"/>
      <c r="K73" s="35"/>
      <c r="L73" s="35"/>
      <c r="P73" s="38"/>
    </row>
    <row r="74" spans="9:16" x14ac:dyDescent="0.25">
      <c r="I74" s="35"/>
      <c r="J74" s="35"/>
      <c r="K74" s="35"/>
      <c r="L74" s="35"/>
      <c r="P74" s="38"/>
    </row>
    <row r="75" spans="9:16" x14ac:dyDescent="0.25">
      <c r="I75" s="35"/>
      <c r="J75" s="35"/>
      <c r="K75" s="35"/>
      <c r="L75" s="35"/>
      <c r="P75" s="38"/>
    </row>
    <row r="76" spans="9:16" x14ac:dyDescent="0.25">
      <c r="I76" s="35"/>
      <c r="J76" s="35"/>
      <c r="K76" s="35"/>
      <c r="L76" s="35"/>
      <c r="P76" s="38"/>
    </row>
    <row r="77" spans="9:16" x14ac:dyDescent="0.25">
      <c r="I77" s="35"/>
      <c r="J77" s="35"/>
      <c r="K77" s="35"/>
      <c r="L77" s="35"/>
      <c r="P77" s="38"/>
    </row>
    <row r="78" spans="9:16" x14ac:dyDescent="0.25">
      <c r="I78" s="35"/>
      <c r="J78" s="35"/>
      <c r="K78" s="35"/>
      <c r="L78" s="35"/>
      <c r="P78" s="38"/>
    </row>
    <row r="79" spans="9:16" x14ac:dyDescent="0.25">
      <c r="I79" s="35"/>
      <c r="J79" s="35"/>
      <c r="K79" s="35"/>
      <c r="L79" s="35"/>
      <c r="P79" s="38"/>
    </row>
    <row r="80" spans="9:16" x14ac:dyDescent="0.25">
      <c r="I80" s="35"/>
      <c r="J80" s="35"/>
      <c r="K80" s="35"/>
      <c r="L80" s="35"/>
      <c r="P80" s="38"/>
    </row>
    <row r="81" spans="9:16" x14ac:dyDescent="0.25">
      <c r="I81" s="35"/>
      <c r="J81" s="35"/>
      <c r="K81" s="35"/>
      <c r="L81" s="35"/>
      <c r="P81" s="38"/>
    </row>
    <row r="82" spans="9:16" x14ac:dyDescent="0.25">
      <c r="I82" s="35"/>
      <c r="J82" s="35"/>
      <c r="K82" s="35"/>
      <c r="L82" s="35"/>
      <c r="P82" s="38"/>
    </row>
    <row r="83" spans="9:16" x14ac:dyDescent="0.25">
      <c r="I83" s="35"/>
      <c r="J83" s="35"/>
      <c r="K83" s="35"/>
      <c r="L83" s="35"/>
      <c r="P83" s="38"/>
    </row>
    <row r="84" spans="9:16" x14ac:dyDescent="0.25">
      <c r="I84" s="35"/>
      <c r="J84" s="35"/>
      <c r="K84" s="35"/>
      <c r="L84" s="35"/>
      <c r="P84" s="38"/>
    </row>
    <row r="85" spans="9:16" x14ac:dyDescent="0.25">
      <c r="I85" s="35"/>
      <c r="J85" s="35"/>
      <c r="K85" s="35"/>
      <c r="L85" s="35"/>
      <c r="P85" s="38"/>
    </row>
    <row r="86" spans="9:16" x14ac:dyDescent="0.25">
      <c r="I86" s="35"/>
      <c r="J86" s="35"/>
      <c r="K86" s="35"/>
      <c r="L86" s="35"/>
      <c r="P86" s="38"/>
    </row>
    <row r="87" spans="9:16" x14ac:dyDescent="0.25">
      <c r="I87" s="35"/>
      <c r="J87" s="35"/>
      <c r="K87" s="35"/>
      <c r="L87" s="35"/>
      <c r="P87" s="38"/>
    </row>
    <row r="88" spans="9:16" x14ac:dyDescent="0.25">
      <c r="I88" s="35"/>
      <c r="J88" s="35"/>
      <c r="K88" s="35"/>
      <c r="L88" s="35"/>
      <c r="P88" s="38"/>
    </row>
    <row r="89" spans="9:16" x14ac:dyDescent="0.25">
      <c r="I89" s="35"/>
      <c r="J89" s="35"/>
      <c r="K89" s="35"/>
      <c r="L89" s="35"/>
      <c r="P89" s="38"/>
    </row>
    <row r="90" spans="9:16" x14ac:dyDescent="0.25">
      <c r="I90" s="35"/>
      <c r="J90" s="35"/>
      <c r="K90" s="35"/>
      <c r="L90" s="35"/>
      <c r="P90" s="38"/>
    </row>
    <row r="91" spans="9:16" x14ac:dyDescent="0.25">
      <c r="I91" s="35"/>
      <c r="J91" s="35"/>
      <c r="K91" s="35"/>
      <c r="L91" s="35"/>
      <c r="P91" s="38"/>
    </row>
    <row r="92" spans="9:16" x14ac:dyDescent="0.25">
      <c r="I92" s="35"/>
      <c r="J92" s="35"/>
      <c r="K92" s="35"/>
      <c r="L92" s="35"/>
      <c r="P92" s="38"/>
    </row>
    <row r="93" spans="9:16" x14ac:dyDescent="0.25">
      <c r="I93" s="35"/>
      <c r="J93" s="35"/>
      <c r="K93" s="35"/>
      <c r="L93" s="35"/>
      <c r="P93" s="38"/>
    </row>
    <row r="94" spans="9:16" x14ac:dyDescent="0.25">
      <c r="I94" s="35"/>
      <c r="J94" s="35"/>
      <c r="K94" s="35"/>
      <c r="L94" s="35"/>
      <c r="P94" s="38"/>
    </row>
    <row r="95" spans="9:16" x14ac:dyDescent="0.25">
      <c r="I95" s="35"/>
      <c r="J95" s="35"/>
      <c r="K95" s="35"/>
      <c r="L95" s="35"/>
      <c r="P95" s="38"/>
    </row>
    <row r="96" spans="9:16" x14ac:dyDescent="0.25">
      <c r="I96" s="35"/>
      <c r="J96" s="35"/>
      <c r="K96" s="35"/>
      <c r="L96" s="35"/>
      <c r="P96" s="38"/>
    </row>
    <row r="97" spans="9:16" x14ac:dyDescent="0.25">
      <c r="I97" s="35"/>
      <c r="J97" s="35"/>
      <c r="K97" s="35"/>
      <c r="L97" s="35"/>
      <c r="P97" s="38"/>
    </row>
    <row r="98" spans="9:16" x14ac:dyDescent="0.25">
      <c r="I98" s="35"/>
      <c r="J98" s="35"/>
      <c r="K98" s="35"/>
      <c r="L98" s="35"/>
      <c r="P98" s="38"/>
    </row>
    <row r="99" spans="9:16" x14ac:dyDescent="0.25">
      <c r="I99" s="35"/>
      <c r="J99" s="35"/>
      <c r="K99" s="35"/>
      <c r="L99" s="35"/>
      <c r="P99" s="38"/>
    </row>
    <row r="100" spans="9:16" x14ac:dyDescent="0.25">
      <c r="I100" s="35"/>
      <c r="J100" s="35"/>
      <c r="K100" s="35"/>
      <c r="L100" s="35"/>
      <c r="P100" s="38"/>
    </row>
    <row r="101" spans="9:16" x14ac:dyDescent="0.25">
      <c r="I101" s="35"/>
      <c r="J101" s="35"/>
      <c r="K101" s="35"/>
      <c r="L101" s="35"/>
      <c r="P101" s="38"/>
    </row>
    <row r="102" spans="9:16" x14ac:dyDescent="0.25">
      <c r="I102" s="35"/>
      <c r="J102" s="35"/>
      <c r="K102" s="35"/>
      <c r="L102" s="35"/>
      <c r="P102" s="38"/>
    </row>
    <row r="103" spans="9:16" x14ac:dyDescent="0.25">
      <c r="I103" s="35"/>
      <c r="J103" s="35"/>
      <c r="K103" s="35"/>
      <c r="L103" s="35"/>
      <c r="P103" s="38"/>
    </row>
    <row r="104" spans="9:16" x14ac:dyDescent="0.25">
      <c r="I104" s="35"/>
      <c r="J104" s="35"/>
      <c r="K104" s="35"/>
      <c r="L104" s="35"/>
      <c r="P104" s="38"/>
    </row>
    <row r="105" spans="9:16" x14ac:dyDescent="0.25">
      <c r="I105" s="35"/>
      <c r="J105" s="35"/>
      <c r="K105" s="35"/>
      <c r="L105" s="35"/>
      <c r="P105" s="38"/>
    </row>
    <row r="106" spans="9:16" x14ac:dyDescent="0.25">
      <c r="I106" s="35"/>
      <c r="J106" s="35"/>
      <c r="K106" s="35"/>
      <c r="L106" s="35"/>
      <c r="P106" s="38"/>
    </row>
    <row r="107" spans="9:16" x14ac:dyDescent="0.25">
      <c r="I107" s="35"/>
      <c r="J107" s="35"/>
      <c r="K107" s="35"/>
      <c r="L107" s="35"/>
      <c r="P107" s="38"/>
    </row>
    <row r="108" spans="9:16" x14ac:dyDescent="0.25">
      <c r="I108" s="35"/>
      <c r="J108" s="35"/>
      <c r="K108" s="35"/>
      <c r="L108" s="35"/>
      <c r="P108" s="38"/>
    </row>
    <row r="109" spans="9:16" x14ac:dyDescent="0.25">
      <c r="I109" s="35"/>
      <c r="J109" s="35"/>
      <c r="K109" s="35"/>
      <c r="L109" s="35"/>
      <c r="P109" s="38"/>
    </row>
    <row r="110" spans="9:16" x14ac:dyDescent="0.25">
      <c r="I110" s="35"/>
      <c r="J110" s="35"/>
      <c r="K110" s="35"/>
      <c r="L110" s="35"/>
      <c r="P110" s="38"/>
    </row>
    <row r="111" spans="9:16" x14ac:dyDescent="0.25">
      <c r="I111" s="35"/>
      <c r="J111" s="35"/>
      <c r="K111" s="35"/>
      <c r="L111" s="35"/>
      <c r="P111" s="38"/>
    </row>
    <row r="112" spans="9:16" x14ac:dyDescent="0.25">
      <c r="I112" s="35"/>
      <c r="J112" s="35"/>
      <c r="K112" s="35"/>
      <c r="L112" s="35"/>
      <c r="P112" s="38"/>
    </row>
    <row r="113" spans="9:16" x14ac:dyDescent="0.25">
      <c r="I113" s="35"/>
      <c r="J113" s="35"/>
      <c r="K113" s="35"/>
      <c r="L113" s="35"/>
      <c r="P113" s="38"/>
    </row>
    <row r="114" spans="9:16" x14ac:dyDescent="0.25">
      <c r="I114" s="35"/>
      <c r="J114" s="35"/>
      <c r="K114" s="35"/>
      <c r="L114" s="35"/>
      <c r="P114" s="38"/>
    </row>
    <row r="115" spans="9:16" x14ac:dyDescent="0.25">
      <c r="I115" s="35"/>
      <c r="J115" s="35"/>
      <c r="K115" s="35"/>
      <c r="L115" s="35"/>
      <c r="P115" s="38"/>
    </row>
    <row r="116" spans="9:16" x14ac:dyDescent="0.25">
      <c r="I116" s="35"/>
      <c r="J116" s="35"/>
      <c r="K116" s="35"/>
      <c r="L116" s="35"/>
      <c r="P116" s="38"/>
    </row>
    <row r="117" spans="9:16" x14ac:dyDescent="0.25">
      <c r="I117" s="35"/>
      <c r="J117" s="35"/>
      <c r="K117" s="35"/>
      <c r="L117" s="35"/>
      <c r="P117" s="38"/>
    </row>
    <row r="118" spans="9:16" x14ac:dyDescent="0.25">
      <c r="I118" s="35"/>
      <c r="J118" s="35"/>
      <c r="K118" s="35"/>
      <c r="L118" s="35"/>
      <c r="P118" s="38"/>
    </row>
    <row r="119" spans="9:16" x14ac:dyDescent="0.25">
      <c r="I119" s="35"/>
      <c r="J119" s="35"/>
      <c r="K119" s="35"/>
      <c r="L119" s="35"/>
      <c r="P119" s="38"/>
    </row>
    <row r="120" spans="9:16" x14ac:dyDescent="0.25">
      <c r="I120" s="35"/>
      <c r="J120" s="35"/>
      <c r="K120" s="35"/>
      <c r="L120" s="35"/>
      <c r="P120" s="38"/>
    </row>
    <row r="121" spans="9:16" x14ac:dyDescent="0.25">
      <c r="I121" s="35"/>
      <c r="J121" s="35"/>
      <c r="K121" s="35"/>
      <c r="L121" s="35"/>
      <c r="P121" s="38"/>
    </row>
    <row r="122" spans="9:16" x14ac:dyDescent="0.25">
      <c r="I122" s="35"/>
      <c r="J122" s="35"/>
      <c r="K122" s="35"/>
      <c r="L122" s="35"/>
      <c r="P122" s="38"/>
    </row>
    <row r="123" spans="9:16" x14ac:dyDescent="0.25">
      <c r="I123" s="35"/>
      <c r="J123" s="35"/>
      <c r="K123" s="35"/>
      <c r="L123" s="35"/>
      <c r="P123" s="38"/>
    </row>
    <row r="124" spans="9:16" x14ac:dyDescent="0.25">
      <c r="I124" s="35"/>
      <c r="J124" s="35"/>
      <c r="K124" s="35"/>
      <c r="L124" s="35"/>
      <c r="P124" s="38"/>
    </row>
    <row r="125" spans="9:16" x14ac:dyDescent="0.25">
      <c r="I125" s="35"/>
      <c r="J125" s="35"/>
      <c r="K125" s="35"/>
      <c r="L125" s="35"/>
      <c r="P125" s="38"/>
    </row>
    <row r="126" spans="9:16" x14ac:dyDescent="0.25">
      <c r="I126" s="35"/>
      <c r="J126" s="35"/>
      <c r="K126" s="35"/>
      <c r="L126" s="35"/>
      <c r="P126" s="38"/>
    </row>
    <row r="127" spans="9:16" x14ac:dyDescent="0.25">
      <c r="I127" s="35"/>
      <c r="J127" s="35"/>
      <c r="K127" s="35"/>
      <c r="L127" s="35"/>
      <c r="P127" s="38"/>
    </row>
    <row r="128" spans="9:16" x14ac:dyDescent="0.25">
      <c r="I128" s="35"/>
      <c r="J128" s="35"/>
      <c r="K128" s="35"/>
      <c r="L128" s="35"/>
      <c r="P128" s="38"/>
    </row>
    <row r="129" spans="9:16" x14ac:dyDescent="0.25">
      <c r="I129" s="35"/>
      <c r="J129" s="35"/>
      <c r="K129" s="35"/>
      <c r="L129" s="35"/>
      <c r="P129" s="38"/>
    </row>
    <row r="130" spans="9:16" x14ac:dyDescent="0.25">
      <c r="I130" s="35"/>
      <c r="J130" s="35"/>
      <c r="K130" s="35"/>
      <c r="L130" s="35"/>
      <c r="P130" s="38"/>
    </row>
    <row r="131" spans="9:16" x14ac:dyDescent="0.25">
      <c r="I131" s="35"/>
      <c r="J131" s="35"/>
      <c r="K131" s="35"/>
      <c r="L131" s="35"/>
      <c r="P131" s="38"/>
    </row>
    <row r="132" spans="9:16" x14ac:dyDescent="0.25">
      <c r="I132" s="35"/>
      <c r="J132" s="35"/>
      <c r="K132" s="35"/>
      <c r="L132" s="35"/>
      <c r="P132" s="38"/>
    </row>
    <row r="133" spans="9:16" x14ac:dyDescent="0.25">
      <c r="I133" s="35"/>
      <c r="J133" s="35"/>
      <c r="K133" s="35"/>
      <c r="L133" s="35"/>
      <c r="P133" s="38"/>
    </row>
    <row r="134" spans="9:16" x14ac:dyDescent="0.25">
      <c r="I134" s="35"/>
      <c r="J134" s="35"/>
      <c r="K134" s="35"/>
      <c r="L134" s="35"/>
      <c r="P134" s="38"/>
    </row>
    <row r="135" spans="9:16" x14ac:dyDescent="0.25">
      <c r="I135" s="35"/>
      <c r="J135" s="35"/>
      <c r="K135" s="35"/>
      <c r="L135" s="35"/>
      <c r="P135" s="38"/>
    </row>
    <row r="136" spans="9:16" x14ac:dyDescent="0.25">
      <c r="I136" s="35"/>
      <c r="J136" s="35"/>
      <c r="K136" s="35"/>
      <c r="L136" s="35"/>
      <c r="P136" s="38"/>
    </row>
    <row r="137" spans="9:16" x14ac:dyDescent="0.25">
      <c r="I137" s="35"/>
      <c r="J137" s="35"/>
      <c r="K137" s="35"/>
      <c r="L137" s="35"/>
      <c r="P137" s="38"/>
    </row>
    <row r="138" spans="9:16" x14ac:dyDescent="0.25">
      <c r="I138" s="35"/>
      <c r="J138" s="35"/>
      <c r="K138" s="35"/>
      <c r="L138" s="35"/>
      <c r="P138" s="38"/>
    </row>
    <row r="139" spans="9:16" x14ac:dyDescent="0.25">
      <c r="I139" s="35"/>
      <c r="J139" s="35"/>
      <c r="K139" s="35"/>
      <c r="L139" s="35"/>
      <c r="P139" s="38"/>
    </row>
    <row r="140" spans="9:16" x14ac:dyDescent="0.25">
      <c r="I140" s="35"/>
      <c r="J140" s="35"/>
      <c r="K140" s="35"/>
      <c r="L140" s="35"/>
      <c r="P140" s="38"/>
    </row>
    <row r="141" spans="9:16" x14ac:dyDescent="0.25">
      <c r="I141" s="35"/>
      <c r="J141" s="35"/>
      <c r="K141" s="35"/>
      <c r="L141" s="35"/>
      <c r="P141" s="38"/>
    </row>
    <row r="142" spans="9:16" x14ac:dyDescent="0.25">
      <c r="I142" s="35"/>
      <c r="J142" s="35"/>
      <c r="K142" s="35"/>
      <c r="L142" s="35"/>
      <c r="P142" s="38"/>
    </row>
    <row r="143" spans="9:16" x14ac:dyDescent="0.25">
      <c r="I143" s="35"/>
      <c r="J143" s="35"/>
      <c r="K143" s="35"/>
      <c r="L143" s="35"/>
      <c r="P143" s="38"/>
    </row>
    <row r="144" spans="9:16" x14ac:dyDescent="0.25">
      <c r="I144" s="35"/>
      <c r="J144" s="35"/>
      <c r="K144" s="35"/>
      <c r="L144" s="35"/>
      <c r="P144" s="38"/>
    </row>
    <row r="145" spans="9:16" x14ac:dyDescent="0.25">
      <c r="I145" s="35"/>
      <c r="J145" s="35"/>
      <c r="K145" s="35"/>
      <c r="L145" s="35"/>
      <c r="P145" s="38"/>
    </row>
    <row r="146" spans="9:16" x14ac:dyDescent="0.25">
      <c r="I146" s="35"/>
      <c r="J146" s="35"/>
      <c r="K146" s="35"/>
      <c r="L146" s="35"/>
      <c r="P146" s="38"/>
    </row>
    <row r="147" spans="9:16" x14ac:dyDescent="0.25">
      <c r="I147" s="35"/>
      <c r="J147" s="35"/>
      <c r="K147" s="35"/>
      <c r="L147" s="35"/>
      <c r="P147" s="38"/>
    </row>
    <row r="148" spans="9:16" x14ac:dyDescent="0.25">
      <c r="I148" s="35"/>
      <c r="J148" s="35"/>
      <c r="K148" s="35"/>
      <c r="L148" s="35"/>
      <c r="P148" s="38"/>
    </row>
    <row r="149" spans="9:16" x14ac:dyDescent="0.25">
      <c r="I149" s="35"/>
      <c r="J149" s="35"/>
      <c r="K149" s="35"/>
      <c r="L149" s="35"/>
      <c r="P149" s="38"/>
    </row>
    <row r="150" spans="9:16" x14ac:dyDescent="0.25">
      <c r="I150" s="35"/>
      <c r="J150" s="35"/>
      <c r="K150" s="35"/>
      <c r="L150" s="35"/>
      <c r="P150" s="38"/>
    </row>
    <row r="151" spans="9:16" x14ac:dyDescent="0.25">
      <c r="I151" s="35"/>
      <c r="J151" s="35"/>
      <c r="K151" s="35"/>
      <c r="L151" s="35"/>
      <c r="P151" s="38"/>
    </row>
    <row r="152" spans="9:16" x14ac:dyDescent="0.25">
      <c r="I152" s="35"/>
      <c r="J152" s="35"/>
      <c r="K152" s="35"/>
      <c r="L152" s="35"/>
      <c r="P152" s="38"/>
    </row>
    <row r="153" spans="9:16" x14ac:dyDescent="0.25">
      <c r="I153" s="35"/>
      <c r="J153" s="35"/>
      <c r="K153" s="35"/>
      <c r="L153" s="35"/>
      <c r="P153" s="38"/>
    </row>
    <row r="154" spans="9:16" x14ac:dyDescent="0.25">
      <c r="I154" s="35"/>
      <c r="J154" s="35"/>
      <c r="K154" s="35"/>
      <c r="L154" s="35"/>
      <c r="P154" s="38"/>
    </row>
    <row r="155" spans="9:16" x14ac:dyDescent="0.25">
      <c r="I155" s="35"/>
      <c r="J155" s="35"/>
      <c r="K155" s="35"/>
      <c r="L155" s="35"/>
      <c r="P155" s="38"/>
    </row>
    <row r="156" spans="9:16" x14ac:dyDescent="0.25">
      <c r="I156" s="35"/>
      <c r="J156" s="35"/>
      <c r="K156" s="35"/>
      <c r="L156" s="35"/>
      <c r="P156" s="38"/>
    </row>
    <row r="157" spans="9:16" x14ac:dyDescent="0.25">
      <c r="I157" s="35"/>
      <c r="J157" s="35"/>
      <c r="K157" s="35"/>
      <c r="L157" s="35"/>
      <c r="P157" s="38"/>
    </row>
    <row r="158" spans="9:16" x14ac:dyDescent="0.25">
      <c r="I158" s="35"/>
      <c r="J158" s="35"/>
      <c r="K158" s="35"/>
      <c r="L158" s="35"/>
      <c r="P158" s="38"/>
    </row>
    <row r="159" spans="9:16" x14ac:dyDescent="0.25">
      <c r="I159" s="35"/>
      <c r="J159" s="35"/>
      <c r="K159" s="35"/>
      <c r="L159" s="35"/>
      <c r="P159" s="38"/>
    </row>
    <row r="160" spans="9:16" x14ac:dyDescent="0.25">
      <c r="I160" s="35"/>
      <c r="J160" s="35"/>
      <c r="K160" s="35"/>
      <c r="L160" s="35"/>
      <c r="P160" s="38"/>
    </row>
    <row r="161" spans="9:16" x14ac:dyDescent="0.25">
      <c r="I161" s="35"/>
      <c r="J161" s="35"/>
      <c r="K161" s="35"/>
      <c r="L161" s="35"/>
      <c r="P161" s="38"/>
    </row>
    <row r="162" spans="9:16" x14ac:dyDescent="0.25">
      <c r="I162" s="35"/>
      <c r="J162" s="35"/>
      <c r="K162" s="35"/>
      <c r="L162" s="35"/>
      <c r="P162" s="38"/>
    </row>
    <row r="163" spans="9:16" x14ac:dyDescent="0.25">
      <c r="I163" s="35"/>
      <c r="J163" s="35"/>
      <c r="K163" s="35"/>
      <c r="L163" s="35"/>
      <c r="P163" s="38"/>
    </row>
    <row r="164" spans="9:16" x14ac:dyDescent="0.25">
      <c r="I164" s="35"/>
      <c r="J164" s="35"/>
      <c r="K164" s="35"/>
      <c r="L164" s="35"/>
      <c r="P164" s="38"/>
    </row>
    <row r="165" spans="9:16" x14ac:dyDescent="0.25">
      <c r="I165" s="35"/>
      <c r="J165" s="35"/>
      <c r="K165" s="35"/>
      <c r="L165" s="35"/>
      <c r="P165" s="38"/>
    </row>
    <row r="166" spans="9:16" x14ac:dyDescent="0.25">
      <c r="I166" s="35"/>
      <c r="J166" s="35"/>
      <c r="K166" s="35"/>
      <c r="L166" s="35"/>
      <c r="P166" s="38"/>
    </row>
    <row r="167" spans="9:16" x14ac:dyDescent="0.25">
      <c r="I167" s="35"/>
      <c r="J167" s="35"/>
      <c r="K167" s="35"/>
      <c r="L167" s="35"/>
      <c r="P167" s="38"/>
    </row>
    <row r="168" spans="9:16" x14ac:dyDescent="0.25">
      <c r="I168" s="35"/>
      <c r="J168" s="35"/>
      <c r="K168" s="35"/>
      <c r="L168" s="35"/>
      <c r="P168" s="38"/>
    </row>
    <row r="169" spans="9:16" x14ac:dyDescent="0.25">
      <c r="I169" s="35"/>
      <c r="J169" s="35"/>
      <c r="K169" s="35"/>
      <c r="L169" s="35"/>
      <c r="P169" s="38"/>
    </row>
    <row r="170" spans="9:16" x14ac:dyDescent="0.25">
      <c r="I170" s="35"/>
      <c r="J170" s="35"/>
      <c r="K170" s="35"/>
      <c r="L170" s="35"/>
      <c r="P170" s="38"/>
    </row>
    <row r="171" spans="9:16" x14ac:dyDescent="0.25">
      <c r="I171" s="35"/>
      <c r="J171" s="35"/>
      <c r="K171" s="35"/>
      <c r="L171" s="35"/>
      <c r="P171" s="38"/>
    </row>
    <row r="172" spans="9:16" x14ac:dyDescent="0.25">
      <c r="I172" s="35"/>
      <c r="J172" s="35"/>
      <c r="K172" s="35"/>
      <c r="L172" s="35"/>
      <c r="P172" s="38"/>
    </row>
    <row r="173" spans="9:16" x14ac:dyDescent="0.25">
      <c r="I173" s="35"/>
      <c r="J173" s="35"/>
      <c r="K173" s="35"/>
      <c r="L173" s="35"/>
      <c r="P173" s="38"/>
    </row>
    <row r="174" spans="9:16" x14ac:dyDescent="0.25">
      <c r="I174" s="35"/>
      <c r="J174" s="35"/>
      <c r="K174" s="35"/>
      <c r="L174" s="35"/>
      <c r="P174" s="38"/>
    </row>
    <row r="175" spans="9:16" x14ac:dyDescent="0.25">
      <c r="I175" s="35"/>
      <c r="J175" s="35"/>
      <c r="K175" s="35"/>
      <c r="L175" s="35"/>
      <c r="P175" s="38"/>
    </row>
    <row r="176" spans="9:16" x14ac:dyDescent="0.25">
      <c r="I176" s="35"/>
      <c r="J176" s="35"/>
      <c r="K176" s="35"/>
      <c r="L176" s="35"/>
      <c r="P176" s="38"/>
    </row>
    <row r="177" spans="9:16" x14ac:dyDescent="0.25">
      <c r="I177" s="35"/>
      <c r="J177" s="35"/>
      <c r="K177" s="35"/>
      <c r="L177" s="35"/>
      <c r="P177" s="38"/>
    </row>
    <row r="178" spans="9:16" x14ac:dyDescent="0.25">
      <c r="I178" s="35"/>
      <c r="J178" s="35"/>
      <c r="K178" s="35"/>
      <c r="L178" s="35"/>
      <c r="P178" s="38"/>
    </row>
    <row r="179" spans="9:16" x14ac:dyDescent="0.25">
      <c r="I179" s="35"/>
      <c r="J179" s="35"/>
      <c r="K179" s="35"/>
      <c r="L179" s="35"/>
      <c r="P179" s="38"/>
    </row>
    <row r="180" spans="9:16" x14ac:dyDescent="0.25">
      <c r="I180" s="35"/>
      <c r="J180" s="35"/>
      <c r="K180" s="35"/>
      <c r="L180" s="35"/>
      <c r="P180" s="38"/>
    </row>
    <row r="181" spans="9:16" x14ac:dyDescent="0.25">
      <c r="I181" s="35"/>
      <c r="J181" s="35"/>
      <c r="K181" s="35"/>
      <c r="L181" s="35"/>
      <c r="P181" s="38"/>
    </row>
    <row r="182" spans="9:16" x14ac:dyDescent="0.25">
      <c r="I182" s="35"/>
      <c r="J182" s="35"/>
      <c r="K182" s="35"/>
      <c r="L182" s="35"/>
      <c r="P182" s="38"/>
    </row>
    <row r="183" spans="9:16" x14ac:dyDescent="0.25">
      <c r="I183" s="35"/>
      <c r="J183" s="35"/>
      <c r="K183" s="35"/>
      <c r="L183" s="35"/>
      <c r="P183" s="38"/>
    </row>
    <row r="184" spans="9:16" x14ac:dyDescent="0.25">
      <c r="I184" s="35"/>
      <c r="J184" s="35"/>
      <c r="K184" s="35"/>
      <c r="L184" s="35"/>
      <c r="P184" s="38"/>
    </row>
    <row r="185" spans="9:16" x14ac:dyDescent="0.25">
      <c r="I185" s="35"/>
      <c r="J185" s="35"/>
      <c r="K185" s="35"/>
      <c r="L185" s="35"/>
      <c r="P185" s="38"/>
    </row>
    <row r="186" spans="9:16" x14ac:dyDescent="0.25">
      <c r="I186" s="35"/>
      <c r="J186" s="35"/>
      <c r="K186" s="35"/>
      <c r="L186" s="35"/>
      <c r="P186" s="38"/>
    </row>
    <row r="187" spans="9:16" x14ac:dyDescent="0.25">
      <c r="I187" s="35"/>
      <c r="J187" s="35"/>
      <c r="K187" s="35"/>
      <c r="L187" s="35"/>
      <c r="P187" s="38"/>
    </row>
    <row r="188" spans="9:16" x14ac:dyDescent="0.25">
      <c r="I188" s="35"/>
      <c r="J188" s="35"/>
      <c r="K188" s="35"/>
      <c r="L188" s="35"/>
      <c r="P188" s="38"/>
    </row>
    <row r="189" spans="9:16" x14ac:dyDescent="0.25">
      <c r="I189" s="35"/>
      <c r="J189" s="35"/>
      <c r="K189" s="35"/>
      <c r="L189" s="35"/>
      <c r="P189" s="38"/>
    </row>
    <row r="190" spans="9:16" x14ac:dyDescent="0.25">
      <c r="I190" s="35"/>
      <c r="J190" s="35"/>
      <c r="K190" s="35"/>
      <c r="L190" s="35"/>
      <c r="P190" s="3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Adams12</vt:lpstr>
      <vt:lpstr>Commerce City</vt:lpstr>
      <vt:lpstr>Brighton 27J</vt:lpstr>
      <vt:lpstr>Calculation Form</vt:lpstr>
      <vt:lpstr>Inputs</vt:lpstr>
      <vt:lpstr>CSI Counts</vt:lpstr>
      <vt:lpstr>Inputs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gerard_j</dc:creator>
  <cp:lastModifiedBy>Kahle, Tim</cp:lastModifiedBy>
  <cp:lastPrinted>2019-01-24T20:46:09Z</cp:lastPrinted>
  <dcterms:created xsi:type="dcterms:W3CDTF">2005-04-07T14:33:00Z</dcterms:created>
  <dcterms:modified xsi:type="dcterms:W3CDTF">2025-01-14T16:12:24Z</dcterms:modified>
</cp:coreProperties>
</file>